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em-fim e roda" sheetId="1" r:id="rId1"/>
    <sheet name="Potências" sheetId="2" r:id="rId2"/>
    <sheet name="JCS" sheetId="6" r:id="rId3"/>
    <sheet name="nomenclatura" sheetId="7" r:id="rId4"/>
    <sheet name="Veios" sheetId="8" r:id="rId5"/>
    <sheet name="Chavetas" sheetId="9" r:id="rId6"/>
    <sheet name="Anel el e pfusos" sheetId="13" r:id="rId7"/>
    <sheet name="Fadiga" sheetId="14" r:id="rId8"/>
    <sheet name="Alhetas" sheetId="15" r:id="rId9"/>
  </sheets>
  <calcPr calcId="152511"/>
</workbook>
</file>

<file path=xl/calcChain.xml><?xml version="1.0" encoding="utf-8"?>
<calcChain xmlns="http://schemas.openxmlformats.org/spreadsheetml/2006/main">
  <c r="B37" i="14" l="1"/>
  <c r="D5" i="14"/>
  <c r="G2" i="14"/>
  <c r="B12" i="15" l="1"/>
  <c r="L18" i="15"/>
  <c r="L17" i="15"/>
  <c r="K19" i="15" s="1"/>
  <c r="K18" i="15"/>
  <c r="B18" i="15"/>
  <c r="B17" i="15"/>
  <c r="B16" i="15"/>
  <c r="B15" i="15"/>
  <c r="B10" i="15"/>
  <c r="B8" i="15"/>
  <c r="B4" i="15"/>
  <c r="B6" i="15" s="1"/>
  <c r="B13" i="15" l="1"/>
  <c r="B14" i="15" s="1"/>
  <c r="B1" i="8"/>
  <c r="M28" i="8" l="1"/>
  <c r="B25" i="13" l="1"/>
  <c r="D11" i="13"/>
  <c r="E10" i="13"/>
  <c r="B12" i="13" s="1"/>
  <c r="B19" i="13" s="1"/>
  <c r="H6" i="14"/>
  <c r="B33" i="8"/>
  <c r="H59" i="1"/>
  <c r="H57" i="1"/>
  <c r="H56" i="1"/>
  <c r="H55" i="1"/>
  <c r="B23" i="13" l="1"/>
  <c r="B20" i="13"/>
  <c r="B22" i="13" s="1"/>
  <c r="B10" i="14"/>
  <c r="D10" i="14" s="1"/>
  <c r="B43" i="14"/>
  <c r="D43" i="14" s="1"/>
  <c r="B46" i="9"/>
  <c r="M27" i="8"/>
  <c r="H41" i="14"/>
  <c r="B51" i="14"/>
  <c r="B18" i="14"/>
  <c r="D40" i="14"/>
  <c r="B40" i="14"/>
  <c r="D7" i="14"/>
  <c r="B42" i="8"/>
  <c r="J28" i="8"/>
  <c r="N41" i="8"/>
  <c r="B21" i="8"/>
  <c r="D21" i="8" s="1"/>
  <c r="B56" i="9"/>
  <c r="B50" i="9"/>
  <c r="B55" i="9" s="1"/>
  <c r="B57" i="9"/>
  <c r="B31" i="9"/>
  <c r="B37" i="9"/>
  <c r="B36" i="9"/>
  <c r="B41" i="14" l="1"/>
  <c r="B44" i="14"/>
  <c r="H40" i="14"/>
  <c r="B8" i="14"/>
  <c r="H7" i="14"/>
  <c r="B11" i="14"/>
  <c r="B23" i="9" l="1"/>
  <c r="B27" i="9" s="1"/>
  <c r="B7" i="9"/>
  <c r="D22" i="8"/>
  <c r="D23" i="8"/>
  <c r="E41" i="8"/>
  <c r="E42" i="8"/>
  <c r="E40" i="8"/>
  <c r="B11" i="9"/>
  <c r="B18" i="9" s="1"/>
  <c r="B38" i="9" l="1"/>
  <c r="B17" i="9"/>
  <c r="B16" i="9"/>
  <c r="B35" i="8"/>
  <c r="D13" i="8"/>
  <c r="B11" i="8"/>
  <c r="B4" i="8"/>
  <c r="B37" i="8" l="1"/>
  <c r="O35" i="1"/>
  <c r="O32" i="1"/>
  <c r="O33" i="1"/>
  <c r="B20" i="8" l="1"/>
  <c r="D20" i="8" s="1"/>
  <c r="B64" i="1"/>
  <c r="E30" i="2"/>
  <c r="B17" i="2"/>
  <c r="B21" i="1"/>
  <c r="B3" i="6" l="1"/>
  <c r="B10" i="2" l="1"/>
  <c r="B3" i="2"/>
  <c r="B46" i="1" l="1"/>
  <c r="B59" i="1"/>
  <c r="B60" i="1"/>
  <c r="B48" i="1" l="1"/>
  <c r="B44" i="1"/>
  <c r="B43" i="1"/>
  <c r="B39" i="1"/>
  <c r="B55" i="1" s="1"/>
  <c r="B35" i="1"/>
  <c r="B34" i="1"/>
  <c r="B30" i="1"/>
  <c r="B29" i="1"/>
  <c r="B12" i="1"/>
  <c r="B8" i="8" l="1"/>
  <c r="B9" i="8"/>
  <c r="D9" i="8" s="1"/>
  <c r="B19" i="2"/>
  <c r="B18" i="2"/>
  <c r="B22" i="2" s="1"/>
  <c r="B4" i="1"/>
  <c r="O34" i="1" s="1"/>
  <c r="Q34" i="1" s="1"/>
  <c r="B12" i="8" l="1"/>
  <c r="G36" i="8"/>
  <c r="B44" i="8"/>
  <c r="F44" i="8" s="1"/>
  <c r="B27" i="8"/>
  <c r="B28" i="8" s="1"/>
  <c r="B24" i="2"/>
  <c r="B25" i="2" s="1"/>
  <c r="B27" i="2" s="1"/>
  <c r="B28" i="2" s="1"/>
  <c r="B29" i="2" s="1"/>
  <c r="B12" i="2"/>
  <c r="B45" i="1"/>
  <c r="B47" i="1" s="1"/>
  <c r="B49" i="1"/>
  <c r="H45" i="14" l="1"/>
  <c r="B42" i="14" s="1"/>
  <c r="B53" i="14" s="1"/>
  <c r="B54" i="14" s="1"/>
  <c r="B9" i="13"/>
  <c r="G26" i="8"/>
  <c r="B14" i="8"/>
  <c r="B25" i="8" s="1"/>
  <c r="B47" i="8"/>
  <c r="B48" i="8" s="1"/>
  <c r="B29" i="8"/>
  <c r="J20" i="8" s="1"/>
  <c r="B13" i="13" s="1"/>
  <c r="B15" i="13" s="1"/>
  <c r="B17" i="13" s="1"/>
  <c r="B26" i="13" s="1"/>
  <c r="B21" i="2"/>
  <c r="B20" i="2"/>
  <c r="B56" i="1"/>
  <c r="B58" i="1" s="1"/>
  <c r="B57" i="1"/>
  <c r="B27" i="13" l="1"/>
  <c r="B28" i="13"/>
  <c r="H10" i="14"/>
  <c r="B9" i="14" s="1"/>
  <c r="B20" i="14" s="1"/>
  <c r="B21" i="14" s="1"/>
  <c r="B8" i="13"/>
  <c r="B45" i="8"/>
  <c r="F45" i="8" s="1"/>
  <c r="J22" i="8"/>
  <c r="B26" i="8"/>
  <c r="J21" i="8" s="1"/>
  <c r="B46" i="8" l="1"/>
  <c r="F46" i="8" s="1"/>
</calcChain>
</file>

<file path=xl/sharedStrings.xml><?xml version="1.0" encoding="utf-8"?>
<sst xmlns="http://schemas.openxmlformats.org/spreadsheetml/2006/main" count="640" uniqueCount="355">
  <si>
    <t>Z1=</t>
  </si>
  <si>
    <t>a=</t>
  </si>
  <si>
    <t>i=</t>
  </si>
  <si>
    <t>Z2=</t>
  </si>
  <si>
    <t>se Z1 &gt; 1</t>
  </si>
  <si>
    <t>Z2=Z1*i</t>
  </si>
  <si>
    <t>se Z1 =1</t>
  </si>
  <si>
    <t>inteiro abaixo de Z2=Z1*i</t>
  </si>
  <si>
    <t>&lt;―</t>
  </si>
  <si>
    <t>arbitrar</t>
  </si>
  <si>
    <t>―&gt;</t>
  </si>
  <si>
    <t>1ª iteração</t>
  </si>
  <si>
    <t xml:space="preserve">&lt;― </t>
  </si>
  <si>
    <t>arredondar para o inteiro mais próximo (mínimo é 1)</t>
  </si>
  <si>
    <t>Determinação de Z1 (dentes do sem fim)</t>
  </si>
  <si>
    <t>Determinação de Z2 (roda de coroa)</t>
  </si>
  <si>
    <t>arredondar</t>
  </si>
  <si>
    <t>Determinação do fator de diâmetros q</t>
  </si>
  <si>
    <t>Determinação do ângulo de hélice do sem fim com a sua normal (gama)</t>
  </si>
  <si>
    <t>q=</t>
  </si>
  <si>
    <t>gama</t>
  </si>
  <si>
    <t>Determinar valores limite do módulo axial (mx1)</t>
  </si>
  <si>
    <t>Fig 10.53</t>
  </si>
  <si>
    <t>Confirmação do valor do entre eixo</t>
  </si>
  <si>
    <r>
      <t>a</t>
    </r>
    <r>
      <rPr>
        <vertAlign val="subscript"/>
        <sz val="11"/>
        <color theme="1"/>
        <rFont val="Calibri"/>
        <family val="2"/>
        <scheme val="minor"/>
      </rPr>
      <t>max</t>
    </r>
    <r>
      <rPr>
        <sz val="11"/>
        <color theme="1"/>
        <rFont val="Calibri"/>
        <family val="2"/>
        <scheme val="minor"/>
      </rPr>
      <t>=</t>
    </r>
  </si>
  <si>
    <r>
      <t>a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</si>
  <si>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2min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</si>
  <si>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2máx</t>
    </r>
    <r>
      <rPr>
        <sz val="11"/>
        <color theme="1"/>
        <rFont val="Calibri"/>
        <family val="2"/>
        <scheme val="minor"/>
      </rPr>
      <t>=</t>
    </r>
  </si>
  <si>
    <r>
      <t>m</t>
    </r>
    <r>
      <rPr>
        <vertAlign val="subscript"/>
        <sz val="11"/>
        <color theme="1"/>
        <rFont val="Calibri"/>
        <family val="2"/>
        <scheme val="minor"/>
      </rPr>
      <t>x1,max</t>
    </r>
    <r>
      <rPr>
        <sz val="11"/>
        <color theme="1"/>
        <rFont val="Calibri"/>
        <family val="2"/>
        <scheme val="minor"/>
      </rPr>
      <t>=</t>
    </r>
  </si>
  <si>
    <r>
      <t>m</t>
    </r>
    <r>
      <rPr>
        <vertAlign val="subscript"/>
        <sz val="11"/>
        <color theme="1"/>
        <rFont val="Calibri"/>
        <family val="2"/>
        <scheme val="minor"/>
      </rPr>
      <t>x1,min</t>
    </r>
    <r>
      <rPr>
        <sz val="11"/>
        <color theme="1"/>
        <rFont val="Calibri"/>
        <family val="2"/>
        <scheme val="minor"/>
      </rPr>
      <t>=</t>
    </r>
  </si>
  <si>
    <t>escolher um valor normalizado entre estes dois</t>
  </si>
  <si>
    <t>m=</t>
  </si>
  <si>
    <t>figs 10.54 e 10.55</t>
  </si>
  <si>
    <t>/*************************************************************************************************************</t>
  </si>
  <si>
    <t>Cálculo da correção final da roda de coroa</t>
  </si>
  <si>
    <t>x2=</t>
  </si>
  <si>
    <t>Cálculo das dimensões do sem fim</t>
  </si>
  <si>
    <t>d1=</t>
  </si>
  <si>
    <t>ha1=</t>
  </si>
  <si>
    <t>hf1=</t>
  </si>
  <si>
    <t>da1=</t>
  </si>
  <si>
    <t>df1=</t>
  </si>
  <si>
    <t>px=</t>
  </si>
  <si>
    <t>b1=</t>
  </si>
  <si>
    <t>º</t>
  </si>
  <si>
    <t>Cálculo das dimensões da roda de coroa</t>
  </si>
  <si>
    <t>d2=</t>
  </si>
  <si>
    <t>dt=</t>
  </si>
  <si>
    <t>df2=</t>
  </si>
  <si>
    <t>da2min=</t>
  </si>
  <si>
    <t>b2=</t>
  </si>
  <si>
    <t>b2max=</t>
  </si>
  <si>
    <t>rad</t>
  </si>
  <si>
    <t>mm</t>
  </si>
  <si>
    <t>c=</t>
  </si>
  <si>
    <t>n1=</t>
  </si>
  <si>
    <t>Vs=</t>
  </si>
  <si>
    <t>n2=</t>
  </si>
  <si>
    <t>rpm</t>
  </si>
  <si>
    <t>Xc1=</t>
  </si>
  <si>
    <t>Xc2=</t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</si>
  <si>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cm1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</si>
  <si>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s</t>
    </r>
    <r>
      <rPr>
        <vertAlign val="subscript"/>
        <sz val="11"/>
        <color theme="1"/>
        <rFont val="Calibri"/>
        <family val="2"/>
        <scheme val="minor"/>
      </rPr>
      <t>cm2</t>
    </r>
    <r>
      <rPr>
        <sz val="11"/>
        <color theme="1"/>
        <rFont val="Calibri"/>
        <family val="2"/>
        <scheme val="minor"/>
      </rPr>
      <t>=</t>
    </r>
  </si>
  <si>
    <t>sem fim</t>
  </si>
  <si>
    <t>Z=</t>
  </si>
  <si>
    <t>H1=</t>
  </si>
  <si>
    <t>lf2=</t>
  </si>
  <si>
    <t>horas</t>
  </si>
  <si>
    <t>Xb1=</t>
  </si>
  <si>
    <t>Xb2=</t>
  </si>
  <si>
    <t>bm1=</t>
  </si>
  <si>
    <t>bm2=</t>
  </si>
  <si>
    <t>H2=</t>
  </si>
  <si>
    <t>Md1=</t>
  </si>
  <si>
    <t>Md2=</t>
  </si>
  <si>
    <t>Mr1=</t>
  </si>
  <si>
    <t>Mr2=</t>
  </si>
  <si>
    <t>Ws=</t>
  </si>
  <si>
    <t>W</t>
  </si>
  <si>
    <t>rend=</t>
  </si>
  <si>
    <t>tan(phi)</t>
  </si>
  <si>
    <t>We=</t>
  </si>
  <si>
    <r>
      <rPr>
        <sz val="11"/>
        <color theme="1"/>
        <rFont val="Symbol"/>
        <family val="1"/>
        <charset val="2"/>
      </rPr>
      <t>w</t>
    </r>
    <r>
      <rPr>
        <vertAlign val="subscript"/>
        <sz val="11"/>
        <color theme="1"/>
        <rFont val="Calibri"/>
        <family val="2"/>
        <scheme val="minor"/>
      </rPr>
      <t>p</t>
    </r>
    <r>
      <rPr>
        <sz val="11"/>
        <color theme="1"/>
        <rFont val="Calibri"/>
        <family val="2"/>
        <scheme val="minor"/>
      </rPr>
      <t>=</t>
    </r>
  </si>
  <si>
    <t>rad/s</t>
  </si>
  <si>
    <t>Mtp=</t>
  </si>
  <si>
    <t>Nm</t>
  </si>
  <si>
    <t>Zs=</t>
  </si>
  <si>
    <t>Zr=</t>
  </si>
  <si>
    <t>m</t>
  </si>
  <si>
    <t>a</t>
  </si>
  <si>
    <t>entre eixo</t>
  </si>
  <si>
    <t>módulo</t>
  </si>
  <si>
    <t>nº de dentes do sem fim</t>
  </si>
  <si>
    <t>nº de dentes da roda</t>
  </si>
  <si>
    <t>q</t>
  </si>
  <si>
    <t>fator de diâmetros</t>
  </si>
  <si>
    <t>g</t>
  </si>
  <si>
    <t>altura da cabeça</t>
  </si>
  <si>
    <t>altura de pé</t>
  </si>
  <si>
    <t>diâmetro primitivo</t>
  </si>
  <si>
    <t>índice 1</t>
  </si>
  <si>
    <t>índice 2</t>
  </si>
  <si>
    <t>roda de coroa</t>
  </si>
  <si>
    <t>passo axial</t>
  </si>
  <si>
    <t>comprimento</t>
  </si>
  <si>
    <t>largura</t>
  </si>
  <si>
    <t>diâmetro de pé</t>
  </si>
  <si>
    <t>diâmetro de cabeça</t>
  </si>
  <si>
    <t>Nomenclatura</t>
  </si>
  <si>
    <t>JSC</t>
  </si>
  <si>
    <t>s</t>
  </si>
  <si>
    <t>r</t>
  </si>
  <si>
    <t>Rg = i</t>
  </si>
  <si>
    <t>diâmetro de cabeça/adendum do sem-fim</t>
  </si>
  <si>
    <t>diâmetro de pé/dedendum do sem-fim</t>
  </si>
  <si>
    <t>angulo de hélice da roda</t>
  </si>
  <si>
    <t>angulo de hélice do sem fim relativamente a um plano perp ao eixo</t>
  </si>
  <si>
    <t>diâmetro exterior da roda (aproximado)</t>
  </si>
  <si>
    <t>Norma BS721</t>
  </si>
  <si>
    <t>b</t>
  </si>
  <si>
    <t>largura útil da roda</t>
  </si>
  <si>
    <t>razão de transmissão</t>
  </si>
  <si>
    <t>i</t>
  </si>
  <si>
    <t>velocidade tangencial do parafuso</t>
  </si>
  <si>
    <t>velocidade de deslizamento do parafuso</t>
  </si>
  <si>
    <t>m/s</t>
  </si>
  <si>
    <t>L</t>
  </si>
  <si>
    <t>comprimento do parafuso</t>
  </si>
  <si>
    <t>P</t>
  </si>
  <si>
    <t>potência disponível no parafuso</t>
  </si>
  <si>
    <r>
      <t>Z</t>
    </r>
    <r>
      <rPr>
        <vertAlign val="subscript"/>
        <sz val="12"/>
        <color theme="1"/>
        <rFont val="Calibri"/>
        <family val="2"/>
        <scheme val="minor"/>
      </rPr>
      <t>s</t>
    </r>
  </si>
  <si>
    <r>
      <t>Z</t>
    </r>
    <r>
      <rPr>
        <vertAlign val="subscript"/>
        <sz val="12"/>
        <color theme="1"/>
        <rFont val="Calibri"/>
        <family val="2"/>
        <scheme val="minor"/>
      </rPr>
      <t>r</t>
    </r>
  </si>
  <si>
    <r>
      <t>a</t>
    </r>
    <r>
      <rPr>
        <vertAlign val="subscript"/>
        <sz val="12"/>
        <color theme="1"/>
        <rFont val="Calibri"/>
        <family val="2"/>
        <scheme val="minor"/>
      </rPr>
      <t>0</t>
    </r>
  </si>
  <si>
    <r>
      <rPr>
        <sz val="12"/>
        <color theme="1"/>
        <rFont val="Symbol"/>
        <family val="1"/>
        <charset val="2"/>
      </rPr>
      <t>b</t>
    </r>
    <r>
      <rPr>
        <vertAlign val="subscript"/>
        <sz val="12"/>
        <color theme="1"/>
        <rFont val="Calibri"/>
        <family val="2"/>
        <scheme val="minor"/>
      </rPr>
      <t>0</t>
    </r>
  </si>
  <si>
    <r>
      <rPr>
        <sz val="12"/>
        <color theme="1"/>
        <rFont val="Symbol"/>
        <family val="1"/>
        <charset val="2"/>
      </rPr>
      <t>g</t>
    </r>
    <r>
      <rPr>
        <vertAlign val="subscript"/>
        <sz val="12"/>
        <color theme="1"/>
        <rFont val="Calibri"/>
        <family val="2"/>
        <scheme val="minor"/>
      </rPr>
      <t>0</t>
    </r>
  </si>
  <si>
    <r>
      <t>d</t>
    </r>
    <r>
      <rPr>
        <vertAlign val="subscript"/>
        <sz val="12"/>
        <color theme="1"/>
        <rFont val="Calibri"/>
        <family val="2"/>
        <scheme val="minor"/>
      </rPr>
      <t>1</t>
    </r>
  </si>
  <si>
    <r>
      <t>d</t>
    </r>
    <r>
      <rPr>
        <vertAlign val="subscript"/>
        <sz val="12"/>
        <color theme="1"/>
        <rFont val="Calibri"/>
        <family val="2"/>
        <scheme val="minor"/>
      </rPr>
      <t>0s</t>
    </r>
  </si>
  <si>
    <r>
      <t>d</t>
    </r>
    <r>
      <rPr>
        <vertAlign val="subscript"/>
        <sz val="12"/>
        <color theme="1"/>
        <rFont val="Calibri"/>
        <family val="2"/>
        <scheme val="minor"/>
      </rPr>
      <t>a1</t>
    </r>
  </si>
  <si>
    <r>
      <t>d</t>
    </r>
    <r>
      <rPr>
        <vertAlign val="subscript"/>
        <sz val="12"/>
        <color theme="1"/>
        <rFont val="Calibri"/>
        <family val="2"/>
        <scheme val="minor"/>
      </rPr>
      <t>ks</t>
    </r>
  </si>
  <si>
    <r>
      <t>d</t>
    </r>
    <r>
      <rPr>
        <vertAlign val="subscript"/>
        <sz val="12"/>
        <color theme="1"/>
        <rFont val="Calibri"/>
        <family val="2"/>
        <scheme val="minor"/>
      </rPr>
      <t>f1</t>
    </r>
  </si>
  <si>
    <r>
      <t>d</t>
    </r>
    <r>
      <rPr>
        <vertAlign val="subscript"/>
        <sz val="12"/>
        <color theme="1"/>
        <rFont val="Calibri"/>
        <family val="2"/>
        <scheme val="minor"/>
      </rPr>
      <t>fs</t>
    </r>
  </si>
  <si>
    <r>
      <t>h</t>
    </r>
    <r>
      <rPr>
        <vertAlign val="subscript"/>
        <sz val="12"/>
        <color theme="1"/>
        <rFont val="Calibri"/>
        <family val="2"/>
        <scheme val="minor"/>
      </rPr>
      <t>a1</t>
    </r>
  </si>
  <si>
    <r>
      <t>h</t>
    </r>
    <r>
      <rPr>
        <vertAlign val="subscript"/>
        <sz val="12"/>
        <color theme="1"/>
        <rFont val="Calibri"/>
        <family val="2"/>
        <scheme val="minor"/>
      </rPr>
      <t>k1</t>
    </r>
  </si>
  <si>
    <r>
      <t>h</t>
    </r>
    <r>
      <rPr>
        <vertAlign val="subscript"/>
        <sz val="12"/>
        <color theme="1"/>
        <rFont val="Calibri"/>
        <family val="2"/>
        <scheme val="minor"/>
      </rPr>
      <t>f1</t>
    </r>
  </si>
  <si>
    <r>
      <t>p</t>
    </r>
    <r>
      <rPr>
        <vertAlign val="subscript"/>
        <sz val="12"/>
        <color theme="1"/>
        <rFont val="Calibri"/>
        <family val="2"/>
        <scheme val="minor"/>
      </rPr>
      <t>x</t>
    </r>
  </si>
  <si>
    <r>
      <t>t</t>
    </r>
    <r>
      <rPr>
        <vertAlign val="subscript"/>
        <sz val="12"/>
        <color theme="1"/>
        <rFont val="Calibri"/>
        <family val="2"/>
        <scheme val="minor"/>
      </rPr>
      <t>0</t>
    </r>
  </si>
  <si>
    <r>
      <t>b</t>
    </r>
    <r>
      <rPr>
        <vertAlign val="subscript"/>
        <sz val="12"/>
        <color theme="1"/>
        <rFont val="Calibri"/>
        <family val="2"/>
        <scheme val="minor"/>
      </rPr>
      <t>1</t>
    </r>
  </si>
  <si>
    <r>
      <t>d</t>
    </r>
    <r>
      <rPr>
        <vertAlign val="subscript"/>
        <sz val="12"/>
        <color theme="1"/>
        <rFont val="Calibri"/>
        <family val="2"/>
        <scheme val="minor"/>
      </rPr>
      <t>2</t>
    </r>
  </si>
  <si>
    <r>
      <t>d</t>
    </r>
    <r>
      <rPr>
        <vertAlign val="subscript"/>
        <sz val="12"/>
        <color theme="1"/>
        <rFont val="Calibri"/>
        <family val="2"/>
        <scheme val="minor"/>
      </rPr>
      <t>or</t>
    </r>
  </si>
  <si>
    <r>
      <t>d</t>
    </r>
    <r>
      <rPr>
        <vertAlign val="subscript"/>
        <sz val="12"/>
        <color theme="1"/>
        <rFont val="Calibri"/>
        <family val="2"/>
        <scheme val="minor"/>
      </rPr>
      <t>a2</t>
    </r>
  </si>
  <si>
    <r>
      <t>d</t>
    </r>
    <r>
      <rPr>
        <vertAlign val="subscript"/>
        <sz val="12"/>
        <color theme="1"/>
        <rFont val="Calibri"/>
        <family val="2"/>
        <scheme val="minor"/>
      </rPr>
      <t>kr</t>
    </r>
  </si>
  <si>
    <r>
      <t>d</t>
    </r>
    <r>
      <rPr>
        <vertAlign val="subscript"/>
        <sz val="12"/>
        <color theme="1"/>
        <rFont val="Calibri"/>
        <family val="2"/>
        <scheme val="minor"/>
      </rPr>
      <t>f2</t>
    </r>
  </si>
  <si>
    <r>
      <t>b</t>
    </r>
    <r>
      <rPr>
        <vertAlign val="subscript"/>
        <sz val="12"/>
        <color theme="1"/>
        <rFont val="Calibri"/>
        <family val="2"/>
        <scheme val="minor"/>
      </rPr>
      <t>2</t>
    </r>
  </si>
  <si>
    <r>
      <t>b</t>
    </r>
    <r>
      <rPr>
        <vertAlign val="subscript"/>
        <sz val="12"/>
        <color theme="1"/>
        <rFont val="Calibri"/>
        <family val="2"/>
        <scheme val="minor"/>
      </rPr>
      <t>0</t>
    </r>
  </si>
  <si>
    <r>
      <t>d</t>
    </r>
    <r>
      <rPr>
        <vertAlign val="subscript"/>
        <sz val="12"/>
        <color theme="1"/>
        <rFont val="Calibri"/>
        <family val="2"/>
        <scheme val="minor"/>
      </rPr>
      <t>ar</t>
    </r>
  </si>
  <si>
    <r>
      <rPr>
        <sz val="12"/>
        <color theme="1"/>
        <rFont val="Symbol"/>
        <family val="1"/>
        <charset val="2"/>
      </rPr>
      <t>a</t>
    </r>
    <r>
      <rPr>
        <vertAlign val="subscript"/>
        <sz val="12"/>
        <color theme="1"/>
        <rFont val="Calibri"/>
        <family val="2"/>
        <scheme val="minor"/>
      </rPr>
      <t>a0</t>
    </r>
  </si>
  <si>
    <r>
      <rPr>
        <sz val="12"/>
        <color theme="1"/>
        <rFont val="Symbol"/>
        <family val="1"/>
        <charset val="2"/>
      </rPr>
      <t>a</t>
    </r>
    <r>
      <rPr>
        <vertAlign val="subscript"/>
        <sz val="12"/>
        <color theme="1"/>
        <rFont val="Calibri"/>
        <family val="2"/>
        <scheme val="minor"/>
      </rPr>
      <t>n0</t>
    </r>
  </si>
  <si>
    <r>
      <t>v</t>
    </r>
    <r>
      <rPr>
        <vertAlign val="subscript"/>
        <sz val="12"/>
        <color theme="1"/>
        <rFont val="Calibri"/>
        <family val="2"/>
        <scheme val="minor"/>
      </rPr>
      <t>us</t>
    </r>
  </si>
  <si>
    <r>
      <t>v</t>
    </r>
    <r>
      <rPr>
        <vertAlign val="subscript"/>
        <sz val="12"/>
        <color theme="1"/>
        <rFont val="Calibri"/>
        <family val="2"/>
        <scheme val="minor"/>
      </rPr>
      <t>g</t>
    </r>
  </si>
  <si>
    <r>
      <t>M</t>
    </r>
    <r>
      <rPr>
        <vertAlign val="subscript"/>
        <sz val="12"/>
        <color theme="1"/>
        <rFont val="Calibri"/>
        <family val="2"/>
        <scheme val="minor"/>
      </rPr>
      <t>s</t>
    </r>
  </si>
  <si>
    <r>
      <t>Z</t>
    </r>
    <r>
      <rPr>
        <vertAlign val="subscript"/>
        <sz val="12"/>
        <color theme="1"/>
        <rFont val="Calibri"/>
        <family val="2"/>
        <scheme val="minor"/>
      </rPr>
      <t>1</t>
    </r>
  </si>
  <si>
    <r>
      <t>Z</t>
    </r>
    <r>
      <rPr>
        <vertAlign val="subscript"/>
        <sz val="12"/>
        <color theme="1"/>
        <rFont val="Calibri"/>
        <family val="2"/>
        <scheme val="minor"/>
      </rPr>
      <t>2</t>
    </r>
  </si>
  <si>
    <t>Wu=</t>
  </si>
  <si>
    <t>F=</t>
  </si>
  <si>
    <t>N</t>
  </si>
  <si>
    <t>H=</t>
  </si>
  <si>
    <t>kW</t>
  </si>
  <si>
    <r>
      <t>tan(</t>
    </r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  <scheme val="minor"/>
      </rPr>
      <t xml:space="preserve"> + 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)</t>
    </r>
  </si>
  <si>
    <t>momento torsor no parafuso</t>
  </si>
  <si>
    <t>Vs</t>
  </si>
  <si>
    <t>Mpa</t>
  </si>
  <si>
    <t>tau ad=</t>
  </si>
  <si>
    <t>MPa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</si>
  <si>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r=</t>
    </r>
  </si>
  <si>
    <t>Mt sfim=</t>
  </si>
  <si>
    <t>d=</t>
  </si>
  <si>
    <r>
      <t>g</t>
    </r>
    <r>
      <rPr>
        <vertAlign val="subscript"/>
        <sz val="12"/>
        <color theme="1"/>
        <rFont val="Arial"/>
        <family val="2"/>
      </rPr>
      <t>2</t>
    </r>
  </si>
  <si>
    <t>r=</t>
  </si>
  <si>
    <r>
      <rPr>
        <sz val="11"/>
        <color theme="1"/>
        <rFont val="Symbol"/>
        <family val="1"/>
        <charset val="2"/>
      </rPr>
      <t>m</t>
    </r>
    <r>
      <rPr>
        <sz val="11"/>
        <color theme="1"/>
        <rFont val="Calibri"/>
        <family val="2"/>
        <scheme val="minor"/>
      </rPr>
      <t>=</t>
    </r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</si>
  <si>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n=</t>
    </r>
  </si>
  <si>
    <t>Fr=</t>
  </si>
  <si>
    <t>Forças</t>
  </si>
  <si>
    <t>AB=</t>
  </si>
  <si>
    <t>AF=</t>
  </si>
  <si>
    <t>FB=</t>
  </si>
  <si>
    <t>L paraf=</t>
  </si>
  <si>
    <t>RBy=</t>
  </si>
  <si>
    <t>RBz=</t>
  </si>
  <si>
    <t>RAz=</t>
  </si>
  <si>
    <t>RB radial=</t>
  </si>
  <si>
    <t>*********Cálculo de reações</t>
  </si>
  <si>
    <t>2) Veio saída</t>
  </si>
  <si>
    <t>RAx=</t>
  </si>
  <si>
    <t>RAy=</t>
  </si>
  <si>
    <t>RA axial=</t>
  </si>
  <si>
    <t>RA radial=</t>
  </si>
  <si>
    <t>Mtvsaida=</t>
  </si>
  <si>
    <t>dppinhao=</t>
  </si>
  <si>
    <t>Fpx=</t>
  </si>
  <si>
    <t>Fpy=</t>
  </si>
  <si>
    <r>
      <rPr>
        <sz val="11"/>
        <color theme="1"/>
        <rFont val="Symbol"/>
        <family val="1"/>
        <charset val="2"/>
      </rPr>
      <t>a</t>
    </r>
    <r>
      <rPr>
        <sz val="11"/>
        <color theme="1"/>
        <rFont val="Calibri"/>
        <family val="2"/>
        <scheme val="minor"/>
      </rPr>
      <t>=</t>
    </r>
  </si>
  <si>
    <t>&lt;― a dimensionar para o arranqe, se por acaso alguma coisa bloqeasse o portão não partir o veio</t>
  </si>
  <si>
    <t>PC=</t>
  </si>
  <si>
    <t>CR=</t>
  </si>
  <si>
    <t>CD=</t>
  </si>
  <si>
    <t>RDy=</t>
  </si>
  <si>
    <t>RCy=</t>
  </si>
  <si>
    <t>RDx=</t>
  </si>
  <si>
    <t>RCx=</t>
  </si>
  <si>
    <t>Tam rolam</t>
  </si>
  <si>
    <t>b=</t>
  </si>
  <si>
    <t>h=</t>
  </si>
  <si>
    <t>t=</t>
  </si>
  <si>
    <t>t1=</t>
  </si>
  <si>
    <t>s=</t>
  </si>
  <si>
    <t>y=</t>
  </si>
  <si>
    <t>y'=</t>
  </si>
  <si>
    <t>p=</t>
  </si>
  <si>
    <t>Mt motor=</t>
  </si>
  <si>
    <t>m'=</t>
  </si>
  <si>
    <t>dveio mot=</t>
  </si>
  <si>
    <t>L=</t>
  </si>
  <si>
    <t>Chaveta do motor</t>
  </si>
  <si>
    <t>Chavetas do veio de saída</t>
  </si>
  <si>
    <t>1) Chaveta qe liga roda de coroa com veio de saída</t>
  </si>
  <si>
    <t>2) Chaveta qe liga veio de saída com pinhão</t>
  </si>
  <si>
    <t>dveiosaida=</t>
  </si>
  <si>
    <t>dveiosfim=</t>
  </si>
  <si>
    <t>Mt veio saida=</t>
  </si>
  <si>
    <t>=RB axial</t>
  </si>
  <si>
    <t>RDz=</t>
  </si>
  <si>
    <t>RD axial=</t>
  </si>
  <si>
    <t>RD radial=</t>
  </si>
  <si>
    <t>RC radial=</t>
  </si>
  <si>
    <t>&lt;― maior radial, dimensionar rolamento para esta</t>
  </si>
  <si>
    <t>Fa=</t>
  </si>
  <si>
    <t>Ft=</t>
  </si>
  <si>
    <r>
      <rPr>
        <sz val="11"/>
        <color theme="1"/>
        <rFont val="Symbol"/>
        <family val="1"/>
        <charset val="2"/>
      </rPr>
      <t>g</t>
    </r>
    <r>
      <rPr>
        <vertAlign val="subscript"/>
        <sz val="11"/>
        <color theme="1"/>
        <rFont val="Calibri"/>
        <family val="2"/>
        <scheme val="minor"/>
      </rPr>
      <t>2</t>
    </r>
  </si>
  <si>
    <t>&lt;― valor tirado do catálogo</t>
  </si>
  <si>
    <t>dmax  yz=</t>
  </si>
  <si>
    <t>dmax xz=</t>
  </si>
  <si>
    <t>dmax=</t>
  </si>
  <si>
    <t>dmax  xy=</t>
  </si>
  <si>
    <t>Veio entrada</t>
  </si>
  <si>
    <t>Veio saída</t>
  </si>
  <si>
    <t>Mfy máx=</t>
  </si>
  <si>
    <t>Mfz máx=</t>
  </si>
  <si>
    <t>Mfx máx=</t>
  </si>
  <si>
    <t>Mf máx=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</si>
  <si>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a=</t>
    </r>
  </si>
  <si>
    <t>Nmm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</si>
  <si>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m=</t>
    </r>
  </si>
  <si>
    <t>Mt=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</si>
  <si>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e=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</si>
  <si>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ee=</t>
    </r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</si>
  <si>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f0c=</t>
    </r>
  </si>
  <si>
    <t>kf=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</si>
  <si>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rot=</t>
    </r>
  </si>
  <si>
    <t>c1=</t>
  </si>
  <si>
    <t>c2=</t>
  </si>
  <si>
    <t>c3=</t>
  </si>
  <si>
    <t>c4=</t>
  </si>
  <si>
    <t>(flexão)</t>
  </si>
  <si>
    <t>&lt;― admitir q é maqinado</t>
  </si>
  <si>
    <r>
      <rPr>
        <sz val="11"/>
        <color theme="1"/>
        <rFont val="Symbol"/>
        <family val="1"/>
        <charset val="2"/>
      </rPr>
      <t>t</t>
    </r>
    <r>
      <rPr>
        <sz val="11"/>
        <color theme="1"/>
        <rFont val="Calibri"/>
        <family val="2"/>
        <scheme val="minor"/>
      </rPr>
      <t>max=</t>
    </r>
  </si>
  <si>
    <t>N=</t>
  </si>
  <si>
    <t>r concord=</t>
  </si>
  <si>
    <t>r/d=</t>
  </si>
  <si>
    <t>D/d=</t>
  </si>
  <si>
    <t>D=</t>
  </si>
  <si>
    <t>kt=</t>
  </si>
  <si>
    <t>&lt;― admitir q é temperado</t>
  </si>
  <si>
    <t>e o Kt da chaveta?</t>
  </si>
  <si>
    <t>&lt;</t>
  </si>
  <si>
    <t>1) Veio entrada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</si>
  <si>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tração=</t>
    </r>
  </si>
  <si>
    <t>&lt;― outros fatores, suponha-se 0,9</t>
  </si>
  <si>
    <r>
      <rPr>
        <sz val="11"/>
        <color theme="1"/>
        <rFont val="Symbol"/>
        <family val="1"/>
        <charset val="2"/>
      </rPr>
      <t>s</t>
    </r>
    <r>
      <rPr>
        <sz val="11"/>
        <color theme="1"/>
        <rFont val="Calibri"/>
        <family val="2"/>
        <scheme val="minor"/>
      </rPr>
      <t>comp=</t>
    </r>
  </si>
  <si>
    <t>Variável</t>
  </si>
  <si>
    <t>valor</t>
  </si>
  <si>
    <t>coments</t>
  </si>
  <si>
    <t>a-dt/2=</t>
  </si>
  <si>
    <t>d1/2=</t>
  </si>
  <si>
    <t>a-df2/2=</t>
  </si>
  <si>
    <t>esp=</t>
  </si>
  <si>
    <t>50% de carga</t>
  </si>
  <si>
    <t>160% de carga</t>
  </si>
  <si>
    <t>100% de carga</t>
  </si>
  <si>
    <t>Tipo de carga=</t>
  </si>
  <si>
    <t>1 &lt;=&gt;</t>
  </si>
  <si>
    <t>*1,6 &lt;=&gt;</t>
  </si>
  <si>
    <t>/2*0,625 &lt;=&gt;</t>
  </si>
  <si>
    <t>Faxial vs=</t>
  </si>
  <si>
    <t>Faxial ve=</t>
  </si>
  <si>
    <t>Area=</t>
  </si>
  <si>
    <t>m2</t>
  </si>
  <si>
    <t>F/n=</t>
  </si>
  <si>
    <t>nº paraf.=</t>
  </si>
  <si>
    <t>N/paraf.</t>
  </si>
  <si>
    <t>E=</t>
  </si>
  <si>
    <t>Gpa</t>
  </si>
  <si>
    <t>área/paraf=</t>
  </si>
  <si>
    <t>m2/paraf</t>
  </si>
  <si>
    <t>Fseg=</t>
  </si>
  <si>
    <t>Kp=</t>
  </si>
  <si>
    <t>Kj=</t>
  </si>
  <si>
    <t>Fi=</t>
  </si>
  <si>
    <t>do parafuso</t>
  </si>
  <si>
    <t>da tampa</t>
  </si>
  <si>
    <t>área s/ paraf=</t>
  </si>
  <si>
    <t>&lt;― admitir q é M5</t>
  </si>
  <si>
    <t>――――――――――――――――――</t>
  </si>
  <si>
    <t>Mt aperto=</t>
  </si>
  <si>
    <t>do módulo</t>
  </si>
  <si>
    <t>&lt;&lt;&lt;&lt; 2 ou 3% é aceitável</t>
  </si>
  <si>
    <t>agora o diametro é 70</t>
  </si>
  <si>
    <t>Area paraf.=</t>
  </si>
  <si>
    <t>diâmetro paraf.=</t>
  </si>
  <si>
    <t>e=</t>
  </si>
  <si>
    <t>Anilha Din 471</t>
  </si>
  <si>
    <t>Cálculos para dimensionamento dos parafusos</t>
  </si>
  <si>
    <t>hp</t>
  </si>
  <si>
    <t>A=</t>
  </si>
  <si>
    <t>mm2</t>
  </si>
  <si>
    <t>in2</t>
  </si>
  <si>
    <t>ºC</t>
  </si>
  <si>
    <t>F</t>
  </si>
  <si>
    <t>F = 1.8C + 32</t>
  </si>
  <si>
    <t>C = (F - 32)/1.8</t>
  </si>
  <si>
    <r>
      <t>H</t>
    </r>
    <r>
      <rPr>
        <vertAlign val="subscript"/>
        <sz val="11"/>
        <color theme="1"/>
        <rFont val="Calibri"/>
        <family val="2"/>
        <scheme val="minor"/>
      </rPr>
      <t>entrada</t>
    </r>
    <r>
      <rPr>
        <sz val="11"/>
        <color theme="1"/>
        <rFont val="Calibri"/>
        <family val="2"/>
        <scheme val="minor"/>
      </rPr>
      <t>=</t>
    </r>
  </si>
  <si>
    <r>
      <t>H</t>
    </r>
    <r>
      <rPr>
        <vertAlign val="subscript"/>
        <sz val="11"/>
        <color theme="1"/>
        <rFont val="Calibri"/>
        <family val="2"/>
        <scheme val="minor"/>
      </rPr>
      <t>perdas</t>
    </r>
    <r>
      <rPr>
        <sz val="11"/>
        <color theme="1"/>
        <rFont val="Calibri"/>
        <family val="2"/>
        <scheme val="minor"/>
      </rPr>
      <t>=</t>
    </r>
  </si>
  <si>
    <r>
      <t>n</t>
    </r>
    <r>
      <rPr>
        <vertAlign val="subscript"/>
        <sz val="11"/>
        <color theme="1"/>
        <rFont val="Calibri"/>
        <family val="2"/>
        <scheme val="minor"/>
      </rPr>
      <t>motor</t>
    </r>
    <r>
      <rPr>
        <sz val="11"/>
        <color theme="1"/>
        <rFont val="Calibri"/>
        <family val="2"/>
        <scheme val="minor"/>
      </rPr>
      <t>=</t>
    </r>
  </si>
  <si>
    <r>
      <t>h</t>
    </r>
    <r>
      <rPr>
        <vertAlign val="subscript"/>
        <sz val="11"/>
        <color theme="1"/>
        <rFont val="Calibri"/>
        <family val="2"/>
        <scheme val="minor"/>
      </rPr>
      <t>cr</t>
    </r>
    <r>
      <rPr>
        <sz val="11"/>
        <color theme="1"/>
        <rFont val="Calibri"/>
        <family val="2"/>
        <scheme val="minor"/>
      </rPr>
      <t>=</t>
    </r>
  </si>
  <si>
    <r>
      <t>T</t>
    </r>
    <r>
      <rPr>
        <vertAlign val="subscript"/>
        <sz val="11"/>
        <color theme="1"/>
        <rFont val="Calibri"/>
        <family val="2"/>
        <scheme val="minor"/>
      </rPr>
      <t>amb</t>
    </r>
    <r>
      <rPr>
        <sz val="11"/>
        <color theme="1"/>
        <rFont val="Calibri"/>
        <family val="2"/>
        <scheme val="minor"/>
      </rPr>
      <t>=</t>
    </r>
  </si>
  <si>
    <r>
      <t>T</t>
    </r>
    <r>
      <rPr>
        <vertAlign val="subscript"/>
        <sz val="11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>=</t>
    </r>
  </si>
  <si>
    <t>ft·lbf/min</t>
  </si>
  <si>
    <r>
      <t>ft·lbf/(min·in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·°F)</t>
    </r>
  </si>
  <si>
    <t>in</t>
  </si>
  <si>
    <r>
      <t>A</t>
    </r>
    <r>
      <rPr>
        <vertAlign val="subscript"/>
        <sz val="11"/>
        <color theme="1"/>
        <rFont val="Calibri"/>
        <family val="2"/>
        <scheme val="minor"/>
      </rPr>
      <t>min</t>
    </r>
    <r>
      <rPr>
        <sz val="11"/>
        <color theme="1"/>
        <rFont val="Calibri"/>
        <family val="2"/>
        <scheme val="minor"/>
      </rPr>
      <t>=</t>
    </r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</si>
  <si>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</si>
  <si>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in</t>
    </r>
    <r>
      <rPr>
        <vertAlign val="superscript"/>
        <sz val="11"/>
        <color theme="1"/>
        <rFont val="Calibri"/>
        <family val="2"/>
        <scheme val="minor"/>
      </rPr>
      <t>2</t>
    </r>
  </si>
  <si>
    <t>nº alhet=</t>
  </si>
  <si>
    <t>Valor</t>
  </si>
  <si>
    <t>Unidades</t>
  </si>
  <si>
    <r>
      <t xml:space="preserve">A </t>
    </r>
    <r>
      <rPr>
        <vertAlign val="subscript"/>
        <sz val="11"/>
        <color theme="1"/>
        <rFont val="Calibri"/>
        <family val="2"/>
        <scheme val="minor"/>
      </rPr>
      <t>s/ alheta</t>
    </r>
    <r>
      <rPr>
        <sz val="11"/>
        <color theme="1"/>
        <rFont val="Calibri"/>
        <family val="2"/>
        <scheme val="minor"/>
      </rPr>
      <t>=</t>
    </r>
  </si>
  <si>
    <t>ganho de área total=</t>
  </si>
  <si>
    <r>
      <t xml:space="preserve">A </t>
    </r>
    <r>
      <rPr>
        <vertAlign val="subscript"/>
        <sz val="11"/>
        <color theme="1"/>
        <rFont val="Calibri"/>
        <family val="2"/>
        <scheme val="minor"/>
      </rPr>
      <t>n alhetas</t>
    </r>
    <r>
      <rPr>
        <sz val="11"/>
        <color theme="1"/>
        <rFont val="Calibri"/>
        <family val="2"/>
        <scheme val="minor"/>
      </rPr>
      <t>=</t>
    </r>
  </si>
  <si>
    <t>n=1</t>
  </si>
  <si>
    <t>n=11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</si>
  <si>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</si>
  <si>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Sistema de Acionamento para um Portão Automático de Garagem</t>
  </si>
  <si>
    <r>
      <t xml:space="preserve">/=================================================================================== Realizado por </t>
    </r>
    <r>
      <rPr>
        <b/>
        <sz val="9"/>
        <color theme="1"/>
        <rFont val="Calibri"/>
        <family val="2"/>
        <scheme val="minor"/>
      </rPr>
      <t>André Duarte B. L. Ferreira</t>
    </r>
    <r>
      <rPr>
        <sz val="9"/>
        <color theme="1"/>
        <rFont val="Calibri"/>
        <family val="2"/>
        <scheme val="minor"/>
      </rPr>
      <t xml:space="preserve"> =============================================================================/</t>
    </r>
  </si>
  <si>
    <t>/======================================================================================================================================================================================================/</t>
  </si>
  <si>
    <t>para o trabalho</t>
  </si>
  <si>
    <r>
      <t xml:space="preserve">em </t>
    </r>
    <r>
      <rPr>
        <b/>
        <sz val="9"/>
        <color theme="1"/>
        <rFont val="Calibri"/>
        <family val="2"/>
        <scheme val="minor"/>
      </rPr>
      <t>Jan.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</si>
</sst>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0.0000"/>
    <numFmt numFmtId="166" formatCode="0.0"/>
    <numFmt numFmtId="167" formatCode="0.0000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rgb="FF006600"/>
      <name val="Calibri"/>
      <family val="2"/>
      <scheme val="minor"/>
    </font>
    <font>
      <sz val="11"/>
      <color rgb="FF000000"/>
      <name val="PF Square Sans Pro"/>
    </font>
    <font>
      <sz val="11"/>
      <color theme="1"/>
      <name val="Symbol"/>
      <family val="1"/>
      <charset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1"/>
      <color theme="1"/>
      <name val="Calibri"/>
      <family val="2"/>
      <scheme val="minor"/>
    </font>
    <font>
      <vertAlign val="subscript"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sz val="10"/>
      <color rgb="FF333333"/>
      <name val="Verdana"/>
      <family val="2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right"/>
    </xf>
    <xf numFmtId="0" fontId="0" fillId="3" borderId="0" xfId="0" applyFill="1"/>
    <xf numFmtId="2" fontId="0" fillId="0" borderId="1" xfId="0" applyNumberFormat="1" applyBorder="1" applyAlignment="1">
      <alignment horizontal="center"/>
    </xf>
    <xf numFmtId="0" fontId="3" fillId="0" borderId="0" xfId="0" applyFont="1"/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3" borderId="0" xfId="0" applyFill="1" applyAlignment="1">
      <alignment horizontal="right"/>
    </xf>
    <xf numFmtId="0" fontId="0" fillId="4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0" borderId="0" xfId="0" applyFont="1" applyAlignment="1">
      <alignment horizontal="left" vertical="center" indent="10"/>
    </xf>
    <xf numFmtId="166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3" borderId="0" xfId="0" applyFill="1" applyBorder="1" applyAlignment="1">
      <alignment horizontal="right"/>
    </xf>
    <xf numFmtId="0" fontId="0" fillId="0" borderId="0" xfId="0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/>
    <xf numFmtId="0" fontId="9" fillId="0" borderId="0" xfId="0" applyFont="1" applyAlignment="1">
      <alignment horizontal="center"/>
    </xf>
    <xf numFmtId="9" fontId="0" fillId="0" borderId="1" xfId="1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/>
    <xf numFmtId="166" fontId="0" fillId="0" borderId="0" xfId="0" applyNumberFormat="1"/>
    <xf numFmtId="0" fontId="12" fillId="0" borderId="0" xfId="0" applyFont="1"/>
    <xf numFmtId="0" fontId="0" fillId="0" borderId="0" xfId="0" quotePrefix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quotePrefix="1" applyAlignment="1">
      <alignment horizontal="right"/>
    </xf>
    <xf numFmtId="11" fontId="0" fillId="0" borderId="0" xfId="0" applyNumberFormat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/>
    <xf numFmtId="9" fontId="0" fillId="0" borderId="0" xfId="1" applyFon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3" fillId="0" borderId="0" xfId="0" applyFont="1"/>
    <xf numFmtId="9" fontId="0" fillId="0" borderId="0" xfId="1" applyFont="1" applyAlignment="1">
      <alignment horizontal="center"/>
    </xf>
    <xf numFmtId="166" fontId="0" fillId="0" borderId="0" xfId="0" applyNumberForma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quotePrefix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12" Type="http://schemas.openxmlformats.org/officeDocument/2006/relationships/image" Target="../media/image36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11" Type="http://schemas.openxmlformats.org/officeDocument/2006/relationships/image" Target="../media/image35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5" Type="http://schemas.openxmlformats.org/officeDocument/2006/relationships/image" Target="../media/image41.png"/><Relationship Id="rId4" Type="http://schemas.openxmlformats.org/officeDocument/2006/relationships/image" Target="../media/image4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4.png"/><Relationship Id="rId2" Type="http://schemas.openxmlformats.org/officeDocument/2006/relationships/image" Target="../media/image43.png"/><Relationship Id="rId1" Type="http://schemas.openxmlformats.org/officeDocument/2006/relationships/image" Target="../media/image42.png"/><Relationship Id="rId4" Type="http://schemas.openxmlformats.org/officeDocument/2006/relationships/image" Target="../media/image4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314326</xdr:colOff>
      <xdr:row>0</xdr:row>
      <xdr:rowOff>0</xdr:rowOff>
    </xdr:from>
    <xdr:to>
      <xdr:col>22</xdr:col>
      <xdr:colOff>400050</xdr:colOff>
      <xdr:row>29</xdr:row>
      <xdr:rowOff>173220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6" y="0"/>
          <a:ext cx="6181724" cy="5812020"/>
        </a:xfrm>
        <a:prstGeom prst="rect">
          <a:avLst/>
        </a:prstGeom>
      </xdr:spPr>
    </xdr:pic>
    <xdr:clientData/>
  </xdr:twoCellAnchor>
  <xdr:twoCellAnchor editAs="oneCell">
    <xdr:from>
      <xdr:col>21</xdr:col>
      <xdr:colOff>557418</xdr:colOff>
      <xdr:row>15</xdr:row>
      <xdr:rowOff>156730</xdr:rowOff>
    </xdr:from>
    <xdr:to>
      <xdr:col>27</xdr:col>
      <xdr:colOff>477678</xdr:colOff>
      <xdr:row>29</xdr:row>
      <xdr:rowOff>71871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54268" y="3014230"/>
          <a:ext cx="3577860" cy="2696441"/>
        </a:xfrm>
        <a:prstGeom prst="rect">
          <a:avLst/>
        </a:prstGeom>
      </xdr:spPr>
    </xdr:pic>
    <xdr:clientData/>
  </xdr:twoCellAnchor>
  <xdr:twoCellAnchor editAs="oneCell">
    <xdr:from>
      <xdr:col>15</xdr:col>
      <xdr:colOff>71706</xdr:colOff>
      <xdr:row>7</xdr:row>
      <xdr:rowOff>33769</xdr:rowOff>
    </xdr:from>
    <xdr:to>
      <xdr:col>19</xdr:col>
      <xdr:colOff>0</xdr:colOff>
      <xdr:row>16</xdr:row>
      <xdr:rowOff>95250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0956" y="1367269"/>
          <a:ext cx="2366694" cy="1775981"/>
        </a:xfrm>
        <a:prstGeom prst="rect">
          <a:avLst/>
        </a:prstGeom>
      </xdr:spPr>
    </xdr:pic>
    <xdr:clientData/>
  </xdr:twoCellAnchor>
  <xdr:twoCellAnchor>
    <xdr:from>
      <xdr:col>3</xdr:col>
      <xdr:colOff>390525</xdr:colOff>
      <xdr:row>30</xdr:row>
      <xdr:rowOff>142875</xdr:rowOff>
    </xdr:from>
    <xdr:to>
      <xdr:col>11</xdr:col>
      <xdr:colOff>466725</xdr:colOff>
      <xdr:row>33</xdr:row>
      <xdr:rowOff>76200</xdr:rowOff>
    </xdr:to>
    <xdr:sp macro="" textlink="">
      <xdr:nvSpPr>
        <xdr:cNvPr id="5" name="TextBox 4"/>
        <xdr:cNvSpPr txBox="1"/>
      </xdr:nvSpPr>
      <xdr:spPr>
        <a:xfrm>
          <a:off x="2314575" y="6010275"/>
          <a:ext cx="4953000" cy="504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escolher novo entre eixo se</a:t>
          </a:r>
          <a:r>
            <a:rPr lang="pt-PT" sz="1100" baseline="0"/>
            <a:t> o de cima estiver fora dos limites. Colocar aí o valor do entre eixo a usar (novo ou antigo)</a:t>
          </a:r>
        </a:p>
        <a:p>
          <a:endParaRPr lang="pt-PT" sz="1100" baseline="0"/>
        </a:p>
        <a:p>
          <a:endParaRPr lang="pt-PT" sz="1100"/>
        </a:p>
      </xdr:txBody>
    </xdr:sp>
    <xdr:clientData/>
  </xdr:twoCellAnchor>
  <xdr:twoCellAnchor>
    <xdr:from>
      <xdr:col>3</xdr:col>
      <xdr:colOff>47625</xdr:colOff>
      <xdr:row>42</xdr:row>
      <xdr:rowOff>28575</xdr:rowOff>
    </xdr:from>
    <xdr:to>
      <xdr:col>5</xdr:col>
      <xdr:colOff>371475</xdr:colOff>
      <xdr:row>49</xdr:row>
      <xdr:rowOff>19050</xdr:rowOff>
    </xdr:to>
    <xdr:grpSp>
      <xdr:nvGrpSpPr>
        <xdr:cNvPr id="10" name="Group 9"/>
        <xdr:cNvGrpSpPr/>
      </xdr:nvGrpSpPr>
      <xdr:grpSpPr>
        <a:xfrm>
          <a:off x="1971675" y="8258175"/>
          <a:ext cx="1543050" cy="1323975"/>
          <a:chOff x="1924050" y="8239125"/>
          <a:chExt cx="1543050" cy="1323975"/>
        </a:xfrm>
      </xdr:grpSpPr>
      <xdr:pic>
        <xdr:nvPicPr>
          <xdr:cNvPr id="7" name="Picture 6"/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52625" y="8239125"/>
            <a:ext cx="628650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Picture 7"/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43100" y="8439150"/>
            <a:ext cx="50482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Picture 8"/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050" y="8610600"/>
            <a:ext cx="1543050" cy="209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Picture 10"/>
          <xdr:cNvPicPr>
            <a:picLocks noChangeAspect="1" noChangeArrowheads="1"/>
          </xdr:cNvPicPr>
        </xdr:nvPicPr>
        <xdr:blipFill>
          <a:blip xmlns:r="http://schemas.openxmlformats.org/officeDocument/2006/relationships" r:embed="rId7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050" y="8801100"/>
            <a:ext cx="1047750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/>
          <xdr:cNvPicPr>
            <a:picLocks noChangeAspect="1" noChangeArrowheads="1"/>
          </xdr:cNvPicPr>
        </xdr:nvPicPr>
        <xdr:blipFill>
          <a:blip xmlns:r="http://schemas.openxmlformats.org/officeDocument/2006/relationships" r:embed="rId8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050" y="8991600"/>
            <a:ext cx="1066800" cy="209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9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050" y="9182100"/>
            <a:ext cx="86677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24050" y="9372600"/>
            <a:ext cx="1085850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4</xdr:col>
      <xdr:colOff>123825</xdr:colOff>
      <xdr:row>37</xdr:row>
      <xdr:rowOff>123825</xdr:rowOff>
    </xdr:from>
    <xdr:to>
      <xdr:col>5</xdr:col>
      <xdr:colOff>504825</xdr:colOff>
      <xdr:row>39</xdr:row>
      <xdr:rowOff>85725</xdr:rowOff>
    </xdr:to>
    <xdr:pic>
      <xdr:nvPicPr>
        <xdr:cNvPr id="16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7400925"/>
          <a:ext cx="990600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34</xdr:row>
      <xdr:rowOff>171450</xdr:rowOff>
    </xdr:from>
    <xdr:to>
      <xdr:col>6</xdr:col>
      <xdr:colOff>381000</xdr:colOff>
      <xdr:row>35</xdr:row>
      <xdr:rowOff>142875</xdr:rowOff>
    </xdr:to>
    <xdr:pic>
      <xdr:nvPicPr>
        <xdr:cNvPr id="17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6838950"/>
          <a:ext cx="220980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</xdr:colOff>
      <xdr:row>33</xdr:row>
      <xdr:rowOff>152400</xdr:rowOff>
    </xdr:from>
    <xdr:to>
      <xdr:col>6</xdr:col>
      <xdr:colOff>381000</xdr:colOff>
      <xdr:row>34</xdr:row>
      <xdr:rowOff>133350</xdr:rowOff>
    </xdr:to>
    <xdr:pic>
      <xdr:nvPicPr>
        <xdr:cNvPr id="18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3575" y="6591300"/>
          <a:ext cx="2200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23</xdr:row>
      <xdr:rowOff>57150</xdr:rowOff>
    </xdr:from>
    <xdr:to>
      <xdr:col>5</xdr:col>
      <xdr:colOff>381000</xdr:colOff>
      <xdr:row>25</xdr:row>
      <xdr:rowOff>57150</xdr:rowOff>
    </xdr:to>
    <xdr:pic>
      <xdr:nvPicPr>
        <xdr:cNvPr id="1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4438650"/>
          <a:ext cx="16002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25</xdr:row>
      <xdr:rowOff>133350</xdr:rowOff>
    </xdr:from>
    <xdr:to>
      <xdr:col>5</xdr:col>
      <xdr:colOff>438150</xdr:colOff>
      <xdr:row>27</xdr:row>
      <xdr:rowOff>57150</xdr:rowOff>
    </xdr:to>
    <xdr:pic>
      <xdr:nvPicPr>
        <xdr:cNvPr id="2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4895850"/>
          <a:ext cx="16002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561975</xdr:colOff>
      <xdr:row>19</xdr:row>
      <xdr:rowOff>38100</xdr:rowOff>
    </xdr:from>
    <xdr:to>
      <xdr:col>4</xdr:col>
      <xdr:colOff>0</xdr:colOff>
      <xdr:row>21</xdr:row>
      <xdr:rowOff>19050</xdr:rowOff>
    </xdr:to>
    <xdr:pic>
      <xdr:nvPicPr>
        <xdr:cNvPr id="21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3657600"/>
          <a:ext cx="65722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57150</xdr:colOff>
      <xdr:row>54</xdr:row>
      <xdr:rowOff>47625</xdr:rowOff>
    </xdr:from>
    <xdr:to>
      <xdr:col>5</xdr:col>
      <xdr:colOff>180975</xdr:colOff>
      <xdr:row>60</xdr:row>
      <xdr:rowOff>85725</xdr:rowOff>
    </xdr:to>
    <xdr:grpSp>
      <xdr:nvGrpSpPr>
        <xdr:cNvPr id="6" name="Group 5"/>
        <xdr:cNvGrpSpPr/>
      </xdr:nvGrpSpPr>
      <xdr:grpSpPr>
        <a:xfrm>
          <a:off x="1981200" y="10563225"/>
          <a:ext cx="1343025" cy="1181100"/>
          <a:chOff x="609600" y="10325100"/>
          <a:chExt cx="1343025" cy="1181100"/>
        </a:xfrm>
      </xdr:grpSpPr>
      <xdr:pic>
        <xdr:nvPicPr>
          <xdr:cNvPr id="22" name="Picture 21"/>
          <xdr:cNvPicPr>
            <a:picLocks noChangeAspect="1" noChangeArrowheads="1"/>
          </xdr:cNvPicPr>
        </xdr:nvPicPr>
        <xdr:blipFill>
          <a:blip xmlns:r="http://schemas.openxmlformats.org/officeDocument/2006/relationships" r:embed="rId17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0325100"/>
            <a:ext cx="1190625" cy="190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/>
          <xdr:cNvPicPr>
            <a:picLocks noChangeAspect="1" noChangeArrowheads="1"/>
          </xdr:cNvPicPr>
        </xdr:nvPicPr>
        <xdr:blipFill>
          <a:blip xmlns:r="http://schemas.openxmlformats.org/officeDocument/2006/relationships" r:embed="rId18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0515600"/>
            <a:ext cx="1266825" cy="209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/>
          <xdr:cNvPicPr>
            <a:picLocks noChangeAspect="1" noChangeArrowheads="1"/>
          </xdr:cNvPicPr>
        </xdr:nvPicPr>
        <xdr:blipFill>
          <a:blip xmlns:r="http://schemas.openxmlformats.org/officeDocument/2006/relationships" r:embed="rId19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0706100"/>
            <a:ext cx="1343025" cy="2095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24"/>
          <xdr:cNvPicPr>
            <a:picLocks noChangeAspect="1" noChangeArrowheads="1"/>
          </xdr:cNvPicPr>
        </xdr:nvPicPr>
        <xdr:blipFill>
          <a:blip xmlns:r="http://schemas.openxmlformats.org/officeDocument/2006/relationships" r:embed="rId20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0896600"/>
            <a:ext cx="1257300" cy="20002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6" name="Picture 25"/>
          <xdr:cNvPicPr>
            <a:picLocks noChangeAspect="1" noChangeArrowheads="1"/>
          </xdr:cNvPicPr>
        </xdr:nvPicPr>
        <xdr:blipFill>
          <a:blip xmlns:r="http://schemas.openxmlformats.org/officeDocument/2006/relationships" r:embed="rId21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1087100"/>
            <a:ext cx="942975" cy="228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7" name="Picture 26"/>
          <xdr:cNvPicPr>
            <a:picLocks noChangeAspect="1" noChangeArrowheads="1"/>
          </xdr:cNvPicPr>
        </xdr:nvPicPr>
        <xdr:blipFill>
          <a:blip xmlns:r="http://schemas.openxmlformats.org/officeDocument/2006/relationships" r:embed="rId22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09600" y="11277600"/>
            <a:ext cx="1276350" cy="2286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11</xdr:col>
      <xdr:colOff>0</xdr:colOff>
      <xdr:row>41</xdr:row>
      <xdr:rowOff>14302</xdr:rowOff>
    </xdr:from>
    <xdr:to>
      <xdr:col>16</xdr:col>
      <xdr:colOff>258082</xdr:colOff>
      <xdr:row>48</xdr:row>
      <xdr:rowOff>57528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8053402"/>
          <a:ext cx="3306082" cy="1376726"/>
        </a:xfrm>
        <a:prstGeom prst="rect">
          <a:avLst/>
        </a:prstGeom>
      </xdr:spPr>
    </xdr:pic>
    <xdr:clientData/>
  </xdr:twoCellAnchor>
  <xdr:twoCellAnchor editAs="oneCell">
    <xdr:from>
      <xdr:col>12</xdr:col>
      <xdr:colOff>576964</xdr:colOff>
      <xdr:row>52</xdr:row>
      <xdr:rowOff>9525</xdr:rowOff>
    </xdr:from>
    <xdr:to>
      <xdr:col>18</xdr:col>
      <xdr:colOff>571499</xdr:colOff>
      <xdr:row>62</xdr:row>
      <xdr:rowOff>64787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7414" y="10144125"/>
          <a:ext cx="3652135" cy="1960262"/>
        </a:xfrm>
        <a:prstGeom prst="rect">
          <a:avLst/>
        </a:prstGeom>
      </xdr:spPr>
    </xdr:pic>
    <xdr:clientData/>
  </xdr:twoCellAnchor>
  <xdr:twoCellAnchor>
    <xdr:from>
      <xdr:col>7</xdr:col>
      <xdr:colOff>47625</xdr:colOff>
      <xdr:row>32</xdr:row>
      <xdr:rowOff>142875</xdr:rowOff>
    </xdr:from>
    <xdr:to>
      <xdr:col>8</xdr:col>
      <xdr:colOff>590550</xdr:colOff>
      <xdr:row>34</xdr:row>
      <xdr:rowOff>95250</xdr:rowOff>
    </xdr:to>
    <xdr:cxnSp macro="">
      <xdr:nvCxnSpPr>
        <xdr:cNvPr id="30" name="Straight Arrow Connector 29"/>
        <xdr:cNvCxnSpPr/>
      </xdr:nvCxnSpPr>
      <xdr:spPr>
        <a:xfrm>
          <a:off x="4410075" y="6391275"/>
          <a:ext cx="1152525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1</xdr:row>
      <xdr:rowOff>123825</xdr:rowOff>
    </xdr:from>
    <xdr:to>
      <xdr:col>16</xdr:col>
      <xdr:colOff>466725</xdr:colOff>
      <xdr:row>2</xdr:row>
      <xdr:rowOff>142875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314325"/>
          <a:ext cx="2200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361950</xdr:colOff>
      <xdr:row>5</xdr:row>
      <xdr:rowOff>57150</xdr:rowOff>
    </xdr:from>
    <xdr:to>
      <xdr:col>17</xdr:col>
      <xdr:colOff>123825</xdr:colOff>
      <xdr:row>6</xdr:row>
      <xdr:rowOff>76200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1009650"/>
          <a:ext cx="22002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123825</xdr:colOff>
      <xdr:row>1</xdr:row>
      <xdr:rowOff>95250</xdr:rowOff>
    </xdr:from>
    <xdr:to>
      <xdr:col>6</xdr:col>
      <xdr:colOff>371475</xdr:colOff>
      <xdr:row>3</xdr:row>
      <xdr:rowOff>76200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285750"/>
          <a:ext cx="2076450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19050</xdr:colOff>
      <xdr:row>17</xdr:row>
      <xdr:rowOff>0</xdr:rowOff>
    </xdr:from>
    <xdr:to>
      <xdr:col>7</xdr:col>
      <xdr:colOff>228600</xdr:colOff>
      <xdr:row>18</xdr:row>
      <xdr:rowOff>19050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314700"/>
          <a:ext cx="26479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17</xdr:row>
      <xdr:rowOff>180975</xdr:rowOff>
    </xdr:from>
    <xdr:to>
      <xdr:col>7</xdr:col>
      <xdr:colOff>219075</xdr:colOff>
      <xdr:row>19</xdr:row>
      <xdr:rowOff>9525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495675"/>
          <a:ext cx="26193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38100</xdr:colOff>
      <xdr:row>19</xdr:row>
      <xdr:rowOff>0</xdr:rowOff>
    </xdr:from>
    <xdr:to>
      <xdr:col>8</xdr:col>
      <xdr:colOff>76200</xdr:colOff>
      <xdr:row>20</xdr:row>
      <xdr:rowOff>0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1350" y="3695700"/>
          <a:ext cx="30861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47625</xdr:colOff>
      <xdr:row>20</xdr:row>
      <xdr:rowOff>9525</xdr:rowOff>
    </xdr:from>
    <xdr:to>
      <xdr:col>8</xdr:col>
      <xdr:colOff>114300</xdr:colOff>
      <xdr:row>21</xdr:row>
      <xdr:rowOff>9525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3895725"/>
          <a:ext cx="31146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14</xdr:row>
      <xdr:rowOff>133350</xdr:rowOff>
    </xdr:from>
    <xdr:to>
      <xdr:col>5</xdr:col>
      <xdr:colOff>161925</xdr:colOff>
      <xdr:row>16</xdr:row>
      <xdr:rowOff>133350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876550"/>
          <a:ext cx="131445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21</xdr:row>
      <xdr:rowOff>0</xdr:rowOff>
    </xdr:from>
    <xdr:to>
      <xdr:col>4</xdr:col>
      <xdr:colOff>104775</xdr:colOff>
      <xdr:row>22</xdr:row>
      <xdr:rowOff>152400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076700"/>
          <a:ext cx="714375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10</xdr:row>
      <xdr:rowOff>95250</xdr:rowOff>
    </xdr:from>
    <xdr:to>
      <xdr:col>7</xdr:col>
      <xdr:colOff>247650</xdr:colOff>
      <xdr:row>12</xdr:row>
      <xdr:rowOff>85725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076450"/>
          <a:ext cx="2019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600075</xdr:colOff>
      <xdr:row>22</xdr:row>
      <xdr:rowOff>133350</xdr:rowOff>
    </xdr:from>
    <xdr:to>
      <xdr:col>5</xdr:col>
      <xdr:colOff>514350</xdr:colOff>
      <xdr:row>24</xdr:row>
      <xdr:rowOff>133350</xdr:rowOff>
    </xdr:to>
    <xdr:pic>
      <xdr:nvPicPr>
        <xdr:cNvPr id="1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4400550"/>
          <a:ext cx="17430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66675</xdr:colOff>
      <xdr:row>25</xdr:row>
      <xdr:rowOff>19050</xdr:rowOff>
    </xdr:from>
    <xdr:to>
      <xdr:col>4</xdr:col>
      <xdr:colOff>409575</xdr:colOff>
      <xdr:row>27</xdr:row>
      <xdr:rowOff>19050</xdr:rowOff>
    </xdr:to>
    <xdr:pic>
      <xdr:nvPicPr>
        <xdr:cNvPr id="15" name="Picture 14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4857750"/>
          <a:ext cx="952500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</xdr:colOff>
      <xdr:row>24</xdr:row>
      <xdr:rowOff>152401</xdr:rowOff>
    </xdr:from>
    <xdr:to>
      <xdr:col>5</xdr:col>
      <xdr:colOff>590550</xdr:colOff>
      <xdr:row>26</xdr:row>
      <xdr:rowOff>19051</xdr:rowOff>
    </xdr:to>
    <xdr:sp macro="" textlink="">
      <xdr:nvSpPr>
        <xdr:cNvPr id="2" name="TextBox 1"/>
        <xdr:cNvSpPr txBox="1"/>
      </xdr:nvSpPr>
      <xdr:spPr>
        <a:xfrm>
          <a:off x="2000250" y="4762501"/>
          <a:ext cx="18954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Momento para</a:t>
          </a:r>
          <a:r>
            <a:rPr lang="pt-PT" sz="1100" baseline="0"/>
            <a:t> substituir a Fa</a:t>
          </a:r>
          <a:endParaRPr lang="pt-PT" sz="1100"/>
        </a:p>
      </xdr:txBody>
    </xdr:sp>
    <xdr:clientData/>
  </xdr:twoCellAnchor>
  <xdr:twoCellAnchor>
    <xdr:from>
      <xdr:col>3</xdr:col>
      <xdr:colOff>142875</xdr:colOff>
      <xdr:row>34</xdr:row>
      <xdr:rowOff>171450</xdr:rowOff>
    </xdr:from>
    <xdr:to>
      <xdr:col>6</xdr:col>
      <xdr:colOff>66675</xdr:colOff>
      <xdr:row>36</xdr:row>
      <xdr:rowOff>38100</xdr:rowOff>
    </xdr:to>
    <xdr:sp macro="" textlink="">
      <xdr:nvSpPr>
        <xdr:cNvPr id="3" name="TextBox 2"/>
        <xdr:cNvSpPr txBox="1"/>
      </xdr:nvSpPr>
      <xdr:spPr>
        <a:xfrm>
          <a:off x="2085975" y="6686550"/>
          <a:ext cx="18954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Momento para</a:t>
          </a:r>
          <a:r>
            <a:rPr lang="pt-PT" sz="1100" baseline="0"/>
            <a:t> substituir a Ft</a:t>
          </a:r>
          <a:endParaRPr lang="pt-PT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4</xdr:row>
      <xdr:rowOff>38100</xdr:rowOff>
    </xdr:from>
    <xdr:to>
      <xdr:col>14</xdr:col>
      <xdr:colOff>161925</xdr:colOff>
      <xdr:row>8</xdr:row>
      <xdr:rowOff>133350</xdr:rowOff>
    </xdr:to>
    <xdr:sp macro="" textlink="">
      <xdr:nvSpPr>
        <xdr:cNvPr id="2" name="TextBox 1"/>
        <xdr:cNvSpPr txBox="1"/>
      </xdr:nvSpPr>
      <xdr:spPr>
        <a:xfrm>
          <a:off x="5162550" y="847725"/>
          <a:ext cx="38862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100"/>
            <a:t>Ver</a:t>
          </a:r>
          <a:r>
            <a:rPr lang="pt-PT" sz="1100" baseline="0"/>
            <a:t> no livro de desenho técnico se não terei q ir buscar um valor normalizado, ver relatorio Diogo e Pedro p. 33</a:t>
          </a:r>
          <a:endParaRPr lang="pt-PT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148736</xdr:colOff>
      <xdr:row>29</xdr:row>
      <xdr:rowOff>50922</xdr:rowOff>
    </xdr:from>
    <xdr:ext cx="738856" cy="36150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4713409" y="5194422"/>
              <a:ext cx="738856" cy="3615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𝜋</m:t>
                        </m:r>
                        <m:sSubSup>
                          <m:sSubSup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Sup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𝑑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  <m:sup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2</m:t>
                            </m:r>
                          </m:sup>
                        </m:sSubSup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/4</m:t>
                        </m:r>
                      </m:den>
                    </m:f>
                    <m:r>
                      <a:rPr lang="pt-P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𝜎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𝑁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4713409" y="5194422"/>
              <a:ext cx="738856" cy="36150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100" b="0" i="0">
                  <a:latin typeface="Cambria Math" panose="02040503050406030204" pitchFamily="18" charset="0"/>
                </a:rPr>
                <a:t>𝐹_𝑖/(𝜋𝑑_𝑖^2/4)=𝜎_𝑒/𝑁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3</xdr:col>
      <xdr:colOff>57150</xdr:colOff>
      <xdr:row>24</xdr:row>
      <xdr:rowOff>100012</xdr:rowOff>
    </xdr:from>
    <xdr:ext cx="806054" cy="50552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2190750" y="4291012"/>
              <a:ext cx="806054" cy="505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𝐹</m:t>
                        </m:r>
                      </m:e>
                      <m: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𝑖</m:t>
                        </m:r>
                      </m:sub>
                    </m:sSub>
                    <m:r>
                      <a:rPr lang="pt-P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𝑒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,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𝑠𝑒𝑔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sub>
                            </m:s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+</m:t>
                            </m:r>
                            <m:sSub>
                              <m:sSubPr>
                                <m:ctrlP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𝑝</m:t>
                                </m:r>
                              </m:sub>
                            </m:sSub>
                          </m:num>
                          <m:den>
                            <m:sSub>
                              <m:sSubPr>
                                <m:ctrlP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</m:ctrlPr>
                              </m:sSubPr>
                              <m:e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𝐾</m:t>
                                </m:r>
                              </m:e>
                              <m:sub>
                                <m:r>
                                  <a:rPr lang="pt-PT" sz="1100" b="0" i="1">
                                    <a:latin typeface="Cambria Math" panose="02040503050406030204" pitchFamily="18" charset="0"/>
                                  </a:rPr>
                                  <m:t>𝑙</m:t>
                                </m:r>
                              </m:sub>
                            </m:sSub>
                          </m:den>
                        </m:f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2190750" y="4291012"/>
              <a:ext cx="806054" cy="50552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100" b="0" i="0">
                  <a:latin typeface="Cambria Math" panose="02040503050406030204" pitchFamily="18" charset="0"/>
                </a:rPr>
                <a:t>𝐹_𝑖=𝐹_(𝑒,𝑠𝑒𝑔)/((𝐾_𝑙+𝐾_𝑝)/𝐾_𝑙 )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5</xdr:col>
      <xdr:colOff>216876</xdr:colOff>
      <xdr:row>21</xdr:row>
      <xdr:rowOff>120528</xdr:rowOff>
    </xdr:from>
    <xdr:ext cx="1283877" cy="3227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3565280" y="3740028"/>
              <a:ext cx="1283877" cy="322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𝑝</m:t>
                        </m:r>
                      </m:sub>
                    </m:sSub>
                    <m:r>
                      <a:rPr lang="pt-P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𝑝𝑎𝑟𝑎𝑓</m:t>
                            </m:r>
                          </m:sub>
                        </m:s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𝑝𝑎𝑟𝑎𝑓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3565280" y="3740028"/>
              <a:ext cx="1283877" cy="3227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100" b="0" i="0">
                  <a:latin typeface="Cambria Math" panose="02040503050406030204" pitchFamily="18" charset="0"/>
                </a:rPr>
                <a:t>𝐾_𝑝=(𝐴_𝑝𝑎𝑟𝑎𝑓⋅𝐸_𝑝𝑎𝑟𝑎𝑓)/𝑒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3</xdr:col>
      <xdr:colOff>170717</xdr:colOff>
      <xdr:row>20</xdr:row>
      <xdr:rowOff>20149</xdr:rowOff>
    </xdr:from>
    <xdr:ext cx="1913665" cy="32432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2302852" y="3449149"/>
              <a:ext cx="1913665" cy="324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𝐾</m:t>
                        </m:r>
                      </m:e>
                      <m: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𝑗</m:t>
                        </m:r>
                      </m:sub>
                    </m:sSub>
                    <m:r>
                      <a:rPr lang="pt-PT" sz="11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𝐴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𝑡𝑎𝑚𝑝𝑎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/</m:t>
                            </m:r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𝑝𝑎𝑟𝑎𝑓𝑢𝑠𝑜</m:t>
                            </m:r>
                          </m:sub>
                        </m:s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⋅</m:t>
                        </m:r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𝐸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𝑡𝑎𝑚𝑝𝑎</m:t>
                            </m:r>
                          </m:sub>
                        </m:sSub>
                      </m:num>
                      <m:den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den>
                    </m:f>
                  </m:oMath>
                </m:oMathPara>
              </a14:m>
              <a:endParaRPr lang="pt-PT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2302852" y="3449149"/>
              <a:ext cx="1913665" cy="32432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100" b="0" i="0">
                  <a:latin typeface="Cambria Math" panose="02040503050406030204" pitchFamily="18" charset="0"/>
                </a:rPr>
                <a:t>𝐾_𝑗=(𝐴_(𝑡𝑎𝑚𝑝𝑎/𝑝𝑎𝑟𝑎𝑓𝑢𝑠𝑜)⋅𝐸_𝑡𝑎𝑚𝑝𝑎)/𝑒</a:t>
              </a:r>
              <a:endParaRPr lang="pt-PT" sz="1100"/>
            </a:p>
          </xdr:txBody>
        </xdr:sp>
      </mc:Fallback>
    </mc:AlternateContent>
    <xdr:clientData/>
  </xdr:oneCellAnchor>
  <xdr:oneCellAnchor>
    <xdr:from>
      <xdr:col>7</xdr:col>
      <xdr:colOff>41030</xdr:colOff>
      <xdr:row>25</xdr:row>
      <xdr:rowOff>732</xdr:rowOff>
    </xdr:from>
    <xdr:ext cx="1079463" cy="5161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4605703" y="4382232"/>
              <a:ext cx="1079463" cy="5161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pt-PT" sz="11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𝐹</m:t>
                            </m:r>
                          </m:e>
                          <m:sub>
                            <m:r>
                              <a:rPr lang="pt-PT" sz="1100" b="0" i="1">
                                <a:latin typeface="Cambria Math" panose="02040503050406030204" pitchFamily="18" charset="0"/>
                              </a:rPr>
                              <m:t>𝑖</m:t>
                            </m:r>
                          </m:sub>
                        </m:sSub>
                      </m:num>
                      <m:den>
                        <m:f>
                          <m:fPr>
                            <m:ctrlP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𝜋</m:t>
                            </m:r>
                            <m:sSubSup>
                              <m:sSubSupPr>
                                <m:ctrlP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𝑑</m:t>
                                </m:r>
                              </m:e>
                              <m:sub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𝑖</m:t>
                                </m:r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,</m:t>
                                </m:r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𝑝𝑎𝑟𝑎𝑓</m:t>
                                </m:r>
                              </m:sub>
                              <m:sup>
                                <m:r>
                                  <a:rPr lang="pt-PT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2</m:t>
                                </m:r>
                              </m:sup>
                            </m:sSubSup>
                          </m:num>
                          <m:den>
                            <m:r>
                              <a:rPr lang="pt-PT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4</m:t>
                            </m:r>
                          </m:den>
                        </m:f>
                      </m:den>
                    </m:f>
                    <m:r>
                      <a:rPr lang="pt-PT" sz="1100" b="0" i="1">
                        <a:latin typeface="Cambria Math" panose="02040503050406030204" pitchFamily="18" charset="0"/>
                      </a:rPr>
                      <m:t>⋅</m:t>
                    </m:r>
                    <m:r>
                      <a:rPr lang="pt-PT" sz="1100" b="0" i="1">
                        <a:latin typeface="Cambria Math" panose="02040503050406030204" pitchFamily="18" charset="0"/>
                      </a:rPr>
                      <m:t>𝑁</m:t>
                    </m:r>
                    <m:r>
                      <a:rPr lang="pt-PT" sz="11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pt-PT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𝜎</m:t>
                        </m:r>
                      </m:e>
                      <m:sub>
                        <m:r>
                          <a:rPr lang="pt-PT" sz="1100" b="0" i="1"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</m:sSub>
                  </m:oMath>
                </m:oMathPara>
              </a14:m>
              <a:endParaRPr lang="pt-PT" sz="1100" b="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4605703" y="4382232"/>
              <a:ext cx="1079463" cy="5161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PT" sz="1100" b="0" i="0">
                  <a:latin typeface="Cambria Math" panose="02040503050406030204" pitchFamily="18" charset="0"/>
                </a:rPr>
                <a:t>𝐹_𝑖/(</a:t>
              </a:r>
              <a:r>
                <a:rPr lang="pt-PT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(𝜋𝑑_(𝑖,𝑝𝑎𝑟𝑎𝑓)^2)/4)</a:t>
              </a:r>
              <a:r>
                <a:rPr lang="pt-PT" sz="1100" b="0" i="0">
                  <a:latin typeface="Cambria Math" panose="02040503050406030204" pitchFamily="18" charset="0"/>
                </a:rPr>
                <a:t>⋅𝑁=𝜎_𝑒</a:t>
              </a:r>
              <a:endParaRPr lang="pt-PT" sz="1100" b="0"/>
            </a:p>
          </xdr:txBody>
        </xdr:sp>
      </mc:Fallback>
    </mc:AlternateContent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322080</xdr:colOff>
      <xdr:row>1</xdr:row>
      <xdr:rowOff>117486</xdr:rowOff>
    </xdr:from>
    <xdr:to>
      <xdr:col>19</xdr:col>
      <xdr:colOff>401028</xdr:colOff>
      <xdr:row>12</xdr:row>
      <xdr:rowOff>51078</xdr:rowOff>
    </xdr:to>
    <xdr:grpSp>
      <xdr:nvGrpSpPr>
        <xdr:cNvPr id="10" name="Group 9"/>
        <xdr:cNvGrpSpPr/>
      </xdr:nvGrpSpPr>
      <xdr:grpSpPr>
        <a:xfrm>
          <a:off x="8201853" y="307986"/>
          <a:ext cx="3715766" cy="2029092"/>
          <a:chOff x="4791074" y="2308610"/>
          <a:chExt cx="3743325" cy="2029092"/>
        </a:xfrm>
      </xdr:grpSpPr>
      <xdr:pic>
        <xdr:nvPicPr>
          <xdr:cNvPr id="3" name="Picture 2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91074" y="2308610"/>
            <a:ext cx="3743325" cy="2029092"/>
          </a:xfrm>
          <a:prstGeom prst="rect">
            <a:avLst/>
          </a:prstGeom>
        </xdr:spPr>
      </xdr:pic>
      <xdr:cxnSp macro="">
        <xdr:nvCxnSpPr>
          <xdr:cNvPr id="5" name="Straight Connector 4"/>
          <xdr:cNvCxnSpPr/>
        </xdr:nvCxnSpPr>
        <xdr:spPr>
          <a:xfrm flipV="1">
            <a:off x="6140046" y="3039717"/>
            <a:ext cx="8380" cy="962025"/>
          </a:xfrm>
          <a:prstGeom prst="line">
            <a:avLst/>
          </a:prstGeom>
          <a:ln>
            <a:solidFill>
              <a:srgbClr val="C00000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 flipH="1">
            <a:off x="5934075" y="3027707"/>
            <a:ext cx="2314575" cy="28576"/>
          </a:xfrm>
          <a:prstGeom prst="line">
            <a:avLst/>
          </a:prstGeom>
          <a:ln>
            <a:solidFill>
              <a:srgbClr val="C00000"/>
            </a:solidFill>
            <a:headEnd type="triangle" w="med" len="med"/>
            <a:tailEnd type="none" w="med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140278</xdr:colOff>
      <xdr:row>15</xdr:row>
      <xdr:rowOff>123618</xdr:rowOff>
    </xdr:from>
    <xdr:to>
      <xdr:col>17</xdr:col>
      <xdr:colOff>150469</xdr:colOff>
      <xdr:row>25</xdr:row>
      <xdr:rowOff>96982</xdr:rowOff>
    </xdr:to>
    <xdr:grpSp>
      <xdr:nvGrpSpPr>
        <xdr:cNvPr id="21" name="Group 20"/>
        <xdr:cNvGrpSpPr/>
      </xdr:nvGrpSpPr>
      <xdr:grpSpPr>
        <a:xfrm>
          <a:off x="7413914" y="2981118"/>
          <a:ext cx="3040873" cy="1878364"/>
          <a:chOff x="8648700" y="1664936"/>
          <a:chExt cx="3058191" cy="1878364"/>
        </a:xfrm>
      </xdr:grpSpPr>
      <xdr:grpSp>
        <xdr:nvGrpSpPr>
          <xdr:cNvPr id="13" name="Group 12"/>
          <xdr:cNvGrpSpPr/>
        </xdr:nvGrpSpPr>
        <xdr:grpSpPr>
          <a:xfrm>
            <a:off x="8648700" y="1664936"/>
            <a:ext cx="3058191" cy="1878364"/>
            <a:chOff x="8648700" y="1664936"/>
            <a:chExt cx="3058191" cy="1878364"/>
          </a:xfrm>
        </xdr:grpSpPr>
        <xdr:pic>
          <xdr:nvPicPr>
            <xdr:cNvPr id="11" name="Picture 10"/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8648700" y="1664936"/>
              <a:ext cx="3058191" cy="1868895"/>
            </a:xfrm>
            <a:prstGeom prst="rect">
              <a:avLst/>
            </a:prstGeom>
          </xdr:spPr>
        </xdr:pic>
        <xdr:sp macro="" textlink="">
          <xdr:nvSpPr>
            <xdr:cNvPr id="12" name="Rectangle 11"/>
            <xdr:cNvSpPr/>
          </xdr:nvSpPr>
          <xdr:spPr>
            <a:xfrm>
              <a:off x="10458450" y="3333750"/>
              <a:ext cx="1247775" cy="209550"/>
            </a:xfrm>
            <a:prstGeom prst="rect">
              <a:avLst/>
            </a:prstGeom>
            <a:noFill/>
            <a:ln>
              <a:solidFill>
                <a:srgbClr val="C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pt-PT" sz="1100"/>
            </a:p>
          </xdr:txBody>
        </xdr:sp>
      </xdr:grpSp>
      <xdr:cxnSp macro="">
        <xdr:nvCxnSpPr>
          <xdr:cNvPr id="16" name="Straight Arrow Connector 15"/>
          <xdr:cNvCxnSpPr>
            <a:endCxn id="12" idx="1"/>
          </xdr:cNvCxnSpPr>
        </xdr:nvCxnSpPr>
        <xdr:spPr>
          <a:xfrm>
            <a:off x="9467850" y="1914525"/>
            <a:ext cx="990600" cy="152400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111098</xdr:colOff>
      <xdr:row>47</xdr:row>
      <xdr:rowOff>43371</xdr:rowOff>
    </xdr:from>
    <xdr:to>
      <xdr:col>17</xdr:col>
      <xdr:colOff>196823</xdr:colOff>
      <xdr:row>57</xdr:row>
      <xdr:rowOff>167463</xdr:rowOff>
    </xdr:to>
    <xdr:grpSp>
      <xdr:nvGrpSpPr>
        <xdr:cNvPr id="26" name="Group 25"/>
        <xdr:cNvGrpSpPr/>
      </xdr:nvGrpSpPr>
      <xdr:grpSpPr>
        <a:xfrm>
          <a:off x="6778598" y="8996871"/>
          <a:ext cx="3722543" cy="2029092"/>
          <a:chOff x="4791074" y="2308610"/>
          <a:chExt cx="3743325" cy="2029092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91074" y="2308610"/>
            <a:ext cx="3743325" cy="2029092"/>
          </a:xfrm>
          <a:prstGeom prst="rect">
            <a:avLst/>
          </a:prstGeom>
        </xdr:spPr>
      </xdr:pic>
      <xdr:cxnSp macro="">
        <xdr:nvCxnSpPr>
          <xdr:cNvPr id="28" name="Straight Connector 27"/>
          <xdr:cNvCxnSpPr/>
        </xdr:nvCxnSpPr>
        <xdr:spPr>
          <a:xfrm flipV="1">
            <a:off x="6294535" y="2949683"/>
            <a:ext cx="16198" cy="1043778"/>
          </a:xfrm>
          <a:prstGeom prst="line">
            <a:avLst/>
          </a:prstGeom>
          <a:ln>
            <a:solidFill>
              <a:srgbClr val="C00000"/>
            </a:solidFill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cxnSp macro="">
        <xdr:nvCxnSpPr>
          <xdr:cNvPr id="29" name="Straight Connector 28"/>
          <xdr:cNvCxnSpPr/>
        </xdr:nvCxnSpPr>
        <xdr:spPr>
          <a:xfrm flipH="1">
            <a:off x="6310733" y="2939179"/>
            <a:ext cx="2004716" cy="10504"/>
          </a:xfrm>
          <a:prstGeom prst="line">
            <a:avLst/>
          </a:prstGeom>
          <a:ln>
            <a:solidFill>
              <a:srgbClr val="C00000"/>
            </a:solidFill>
            <a:headEnd type="triangle" w="med" len="med"/>
            <a:tailEnd type="none" w="med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12</xdr:col>
      <xdr:colOff>192232</xdr:colOff>
      <xdr:row>59</xdr:row>
      <xdr:rowOff>83128</xdr:rowOff>
    </xdr:from>
    <xdr:to>
      <xdr:col>16</xdr:col>
      <xdr:colOff>563362</xdr:colOff>
      <xdr:row>69</xdr:row>
      <xdr:rowOff>54553</xdr:rowOff>
    </xdr:to>
    <xdr:grpSp>
      <xdr:nvGrpSpPr>
        <xdr:cNvPr id="36" name="Group 35"/>
        <xdr:cNvGrpSpPr/>
      </xdr:nvGrpSpPr>
      <xdr:grpSpPr>
        <a:xfrm>
          <a:off x="7465868" y="11322628"/>
          <a:ext cx="2795676" cy="1876425"/>
          <a:chOff x="8039100" y="7391400"/>
          <a:chExt cx="2809531" cy="1876425"/>
        </a:xfrm>
      </xdr:grpSpPr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039100" y="7391400"/>
            <a:ext cx="2809531" cy="1857375"/>
          </a:xfrm>
          <a:prstGeom prst="rect">
            <a:avLst/>
          </a:prstGeom>
        </xdr:spPr>
      </xdr:pic>
      <xdr:sp macro="" textlink="">
        <xdr:nvSpPr>
          <xdr:cNvPr id="33" name="Rectangle 32"/>
          <xdr:cNvSpPr/>
        </xdr:nvSpPr>
        <xdr:spPr>
          <a:xfrm>
            <a:off x="9582150" y="9058275"/>
            <a:ext cx="1247775" cy="209550"/>
          </a:xfrm>
          <a:prstGeom prst="rect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PT" sz="1100"/>
          </a:p>
        </xdr:txBody>
      </xdr:sp>
      <xdr:cxnSp macro="">
        <xdr:nvCxnSpPr>
          <xdr:cNvPr id="34" name="Straight Arrow Connector 33"/>
          <xdr:cNvCxnSpPr>
            <a:endCxn id="33" idx="1"/>
          </xdr:cNvCxnSpPr>
        </xdr:nvCxnSpPr>
        <xdr:spPr>
          <a:xfrm>
            <a:off x="8562975" y="7620000"/>
            <a:ext cx="1019175" cy="1543050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489944</xdr:colOff>
      <xdr:row>2</xdr:row>
      <xdr:rowOff>25977</xdr:rowOff>
    </xdr:from>
    <xdr:to>
      <xdr:col>13</xdr:col>
      <xdr:colOff>154044</xdr:colOff>
      <xdr:row>13</xdr:row>
      <xdr:rowOff>6928</xdr:rowOff>
    </xdr:to>
    <xdr:grpSp>
      <xdr:nvGrpSpPr>
        <xdr:cNvPr id="45" name="Group 44"/>
        <xdr:cNvGrpSpPr/>
      </xdr:nvGrpSpPr>
      <xdr:grpSpPr>
        <a:xfrm>
          <a:off x="5339035" y="406977"/>
          <a:ext cx="2694782" cy="2076451"/>
          <a:chOff x="5461391" y="190499"/>
          <a:chExt cx="2728666" cy="2076451"/>
        </a:xfrm>
      </xdr:grpSpPr>
      <xdr:grpSp>
        <xdr:nvGrpSpPr>
          <xdr:cNvPr id="39" name="Group 38"/>
          <xdr:cNvGrpSpPr/>
        </xdr:nvGrpSpPr>
        <xdr:grpSpPr>
          <a:xfrm>
            <a:off x="5461391" y="190499"/>
            <a:ext cx="2728666" cy="2076451"/>
            <a:chOff x="5434887" y="190499"/>
            <a:chExt cx="2712100" cy="2076451"/>
          </a:xfrm>
        </xdr:grpSpPr>
        <xdr:pic>
          <xdr:nvPicPr>
            <xdr:cNvPr id="2" name="Picture 1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434887" y="190499"/>
              <a:ext cx="2712100" cy="2076451"/>
            </a:xfrm>
            <a:prstGeom prst="rect">
              <a:avLst/>
            </a:prstGeom>
          </xdr:spPr>
        </xdr:pic>
        <xdr:cxnSp macro="">
          <xdr:nvCxnSpPr>
            <xdr:cNvPr id="37" name="Straight Connector 36"/>
            <xdr:cNvCxnSpPr/>
          </xdr:nvCxnSpPr>
          <xdr:spPr>
            <a:xfrm flipH="1" flipV="1">
              <a:off x="6159061" y="927652"/>
              <a:ext cx="12" cy="1146560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</xdr:grpSp>
      <xdr:cxnSp macro="">
        <xdr:nvCxnSpPr>
          <xdr:cNvPr id="40" name="Straight Connector 39"/>
          <xdr:cNvCxnSpPr/>
        </xdr:nvCxnSpPr>
        <xdr:spPr>
          <a:xfrm flipH="1">
            <a:off x="5791855" y="1065068"/>
            <a:ext cx="523699" cy="1793"/>
          </a:xfrm>
          <a:prstGeom prst="line">
            <a:avLst/>
          </a:prstGeom>
          <a:ln>
            <a:solidFill>
              <a:srgbClr val="C00000"/>
            </a:solidFill>
            <a:headEnd type="none" w="med" len="med"/>
            <a:tailEnd type="triangle" w="med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69273</xdr:colOff>
      <xdr:row>14</xdr:row>
      <xdr:rowOff>147205</xdr:rowOff>
    </xdr:from>
    <xdr:to>
      <xdr:col>11</xdr:col>
      <xdr:colOff>367896</xdr:colOff>
      <xdr:row>29</xdr:row>
      <xdr:rowOff>149745</xdr:rowOff>
    </xdr:to>
    <xdr:grpSp>
      <xdr:nvGrpSpPr>
        <xdr:cNvPr id="24" name="Group 23"/>
        <xdr:cNvGrpSpPr/>
      </xdr:nvGrpSpPr>
      <xdr:grpSpPr>
        <a:xfrm>
          <a:off x="3706091" y="2814205"/>
          <a:ext cx="3329305" cy="2860040"/>
          <a:chOff x="51758" y="0"/>
          <a:chExt cx="3329484" cy="2860040"/>
        </a:xfrm>
      </xdr:grpSpPr>
      <xdr:pic>
        <xdr:nvPicPr>
          <xdr:cNvPr id="25" name="Picture 24" descr="C:\Users\Andre\Desktop\Estudo\[IP] Introdução ao Projeto\Trabalho\dimensionamento\Fadiga\Capturar.PNG"/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82137" y="0"/>
            <a:ext cx="2999105" cy="2860040"/>
          </a:xfrm>
          <a:prstGeom prst="rect">
            <a:avLst/>
          </a:prstGeom>
          <a:noFill/>
          <a:ln>
            <a:noFill/>
          </a:ln>
        </xdr:spPr>
      </xdr:pic>
      <xdr:cxnSp macro="">
        <xdr:nvCxnSpPr>
          <xdr:cNvPr id="30" name="Straight Connector 29"/>
          <xdr:cNvCxnSpPr/>
        </xdr:nvCxnSpPr>
        <xdr:spPr>
          <a:xfrm flipV="1">
            <a:off x="1315971" y="723332"/>
            <a:ext cx="6824" cy="1760419"/>
          </a:xfrm>
          <a:prstGeom prst="line">
            <a:avLst/>
          </a:prstGeom>
          <a:ln>
            <a:solidFill>
              <a:srgbClr val="C00000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Straight Arrow Connector 30"/>
          <xdr:cNvCxnSpPr/>
        </xdr:nvCxnSpPr>
        <xdr:spPr>
          <a:xfrm flipH="1" flipV="1">
            <a:off x="682389" y="716508"/>
            <a:ext cx="716508" cy="20471"/>
          </a:xfrm>
          <a:prstGeom prst="straightConnector1">
            <a:avLst/>
          </a:prstGeom>
          <a:ln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mc:AlternateContent xmlns:mc="http://schemas.openxmlformats.org/markup-compatibility/2006" xmlns:a14="http://schemas.microsoft.com/office/drawing/2010/main">
        <mc:Choice Requires="a14">
          <xdr:sp macro="" textlink="">
            <xdr:nvSpPr>
              <xdr:cNvPr id="35" name="Text Box 794"/>
              <xdr:cNvSpPr txBox="1"/>
            </xdr:nvSpPr>
            <xdr:spPr>
              <a:xfrm>
                <a:off x="51758" y="600501"/>
                <a:ext cx="668741" cy="245659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14:m>
                  <m:oMathPara xmlns:m="http://schemas.openxmlformats.org/officeDocument/2006/math">
                    <m:oMathParaPr>
                      <m:jc m:val="centerGroup"/>
                    </m:oMathParaPr>
                    <m:oMath xmlns:m="http://schemas.openxmlformats.org/officeDocument/2006/math">
                      <m:sSub>
                        <m:sSubPr>
                          <m:ctrlPr>
                            <a:rPr lang="pt-PT" sz="900" i="1">
                              <a:solidFill>
                                <a:srgbClr val="C00000"/>
                              </a:solidFill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</m:ctrlPr>
                        </m:sSubPr>
                        <m:e>
                          <m:r>
                            <a:rPr lang="pt-PT" sz="900" i="1">
                              <a:solidFill>
                                <a:srgbClr val="C00000"/>
                              </a:solidFill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𝐶</m:t>
                          </m:r>
                        </m:e>
                        <m:sub>
                          <m:r>
                            <a:rPr lang="pt-PT" sz="900" i="1">
                              <a:solidFill>
                                <a:srgbClr val="C00000"/>
                              </a:solidFill>
                              <a:effectLst/>
                              <a:latin typeface="Cambria Math" panose="02040503050406030204" pitchFamily="18" charset="0"/>
                              <a:ea typeface="Calibri" panose="020F0502020204030204" pitchFamily="34" charset="0"/>
                              <a:cs typeface="Times New Roman" panose="02020603050405020304" pitchFamily="18" charset="0"/>
                            </a:rPr>
                            <m:t>2</m:t>
                          </m:r>
                        </m:sub>
                      </m:sSub>
                      <m:r>
                        <a:rPr lang="pt-PT" sz="900" i="1">
                          <a:solidFill>
                            <a:srgbClr val="C00000"/>
                          </a:solidFill>
                          <a:effectLst/>
                          <a:latin typeface="Cambria Math" panose="02040503050406030204" pitchFamily="18" charset="0"/>
                          <a:ea typeface="Calibri" panose="020F0502020204030204" pitchFamily="34" charset="0"/>
                          <a:cs typeface="Times New Roman" panose="02020603050405020304" pitchFamily="18" charset="0"/>
                        </a:rPr>
                        <m:t>≈0,85</m:t>
                      </m:r>
                    </m:oMath>
                  </m:oMathPara>
                </a14:m>
                <a:endParaRPr lang="pt-PT" sz="1100">
                  <a:solidFill>
                    <a:srgbClr val="000000"/>
                  </a:solidFill>
                  <a:effectLst/>
                  <a:latin typeface="PF Square Sans Pro" panose="02000506040000020004" pitchFamily="2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Choice>
        <mc:Fallback xmlns="">
          <xdr:sp macro="" textlink="">
            <xdr:nvSpPr>
              <xdr:cNvPr id="35" name="Text Box 794"/>
              <xdr:cNvSpPr txBox="1"/>
            </xdr:nvSpPr>
            <xdr:spPr>
              <a:xfrm>
                <a:off x="51758" y="600501"/>
                <a:ext cx="668741" cy="245659"/>
              </a:xfrm>
              <a:prstGeom prst="rect">
                <a:avLst/>
              </a:prstGeom>
              <a:noFill/>
              <a:ln w="6350">
                <a:noFill/>
              </a:ln>
              <a:effectLst/>
            </xdr:spPr>
            <xdr:style>
              <a:lnRef idx="0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t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pt-PT" sz="900" i="0">
                    <a:solidFill>
                      <a:srgbClr val="C00000"/>
                    </a:solidFill>
                    <a:effectLst/>
                    <a:latin typeface="Cambria Math" panose="02040503050406030204" pitchFamily="18" charset="0"/>
                    <a:ea typeface="Calibri" panose="020F0502020204030204" pitchFamily="34" charset="0"/>
                    <a:cs typeface="Times New Roman" panose="02020603050405020304" pitchFamily="18" charset="0"/>
                  </a:rPr>
                  <a:t>𝐶_2≈0,85</a:t>
                </a:r>
                <a:endParaRPr lang="pt-PT" sz="1100">
                  <a:solidFill>
                    <a:srgbClr val="000000"/>
                  </a:solidFill>
                  <a:effectLst/>
                  <a:latin typeface="PF Square Sans Pro" panose="02000506040000020004" pitchFamily="2" charset="0"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mc:Fallback>
      </mc:AlternateContent>
    </xdr:grpSp>
    <xdr:clientData/>
  </xdr:twoCellAnchor>
  <xdr:twoCellAnchor>
    <xdr:from>
      <xdr:col>10</xdr:col>
      <xdr:colOff>121227</xdr:colOff>
      <xdr:row>34</xdr:row>
      <xdr:rowOff>181840</xdr:rowOff>
    </xdr:from>
    <xdr:to>
      <xdr:col>14</xdr:col>
      <xdr:colOff>391464</xdr:colOff>
      <xdr:row>45</xdr:row>
      <xdr:rowOff>162791</xdr:rowOff>
    </xdr:to>
    <xdr:grpSp>
      <xdr:nvGrpSpPr>
        <xdr:cNvPr id="38" name="Group 37"/>
        <xdr:cNvGrpSpPr/>
      </xdr:nvGrpSpPr>
      <xdr:grpSpPr>
        <a:xfrm>
          <a:off x="6182591" y="6658840"/>
          <a:ext cx="2694782" cy="2076451"/>
          <a:chOff x="5461391" y="190499"/>
          <a:chExt cx="2728666" cy="2076451"/>
        </a:xfrm>
      </xdr:grpSpPr>
      <xdr:grpSp>
        <xdr:nvGrpSpPr>
          <xdr:cNvPr id="41" name="Group 40"/>
          <xdr:cNvGrpSpPr/>
        </xdr:nvGrpSpPr>
        <xdr:grpSpPr>
          <a:xfrm>
            <a:off x="5461391" y="190499"/>
            <a:ext cx="2728666" cy="2076451"/>
            <a:chOff x="5434887" y="190499"/>
            <a:chExt cx="2712100" cy="2076451"/>
          </a:xfrm>
        </xdr:grpSpPr>
        <xdr:pic>
          <xdr:nvPicPr>
            <xdr:cNvPr id="43" name="Picture 42"/>
            <xdr:cNvPicPr>
              <a:picLocks noChangeAspect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5434887" y="190499"/>
              <a:ext cx="2712100" cy="2076451"/>
            </a:xfrm>
            <a:prstGeom prst="rect">
              <a:avLst/>
            </a:prstGeom>
          </xdr:spPr>
        </xdr:pic>
        <xdr:cxnSp macro="">
          <xdr:nvCxnSpPr>
            <xdr:cNvPr id="44" name="Straight Connector 43"/>
            <xdr:cNvCxnSpPr/>
          </xdr:nvCxnSpPr>
          <xdr:spPr>
            <a:xfrm flipH="1" flipV="1">
              <a:off x="5983916" y="857250"/>
              <a:ext cx="863" cy="1225621"/>
            </a:xfrm>
            <a:prstGeom prst="line">
              <a:avLst/>
            </a:prstGeom>
            <a:ln>
              <a:solidFill>
                <a:srgbClr val="C00000"/>
              </a:solidFill>
            </a:ln>
          </xdr:spPr>
          <xdr:style>
            <a:lnRef idx="1">
              <a:schemeClr val="accent2"/>
            </a:lnRef>
            <a:fillRef idx="0">
              <a:schemeClr val="accent2"/>
            </a:fillRef>
            <a:effectRef idx="0">
              <a:schemeClr val="accent2"/>
            </a:effectRef>
            <a:fontRef idx="minor">
              <a:schemeClr val="tx1"/>
            </a:fontRef>
          </xdr:style>
        </xdr:cxnSp>
      </xdr:grpSp>
      <xdr:cxnSp macro="">
        <xdr:nvCxnSpPr>
          <xdr:cNvPr id="42" name="Straight Connector 41"/>
          <xdr:cNvCxnSpPr/>
        </xdr:nvCxnSpPr>
        <xdr:spPr>
          <a:xfrm flipH="1">
            <a:off x="5774318" y="865909"/>
            <a:ext cx="523699" cy="1793"/>
          </a:xfrm>
          <a:prstGeom prst="line">
            <a:avLst/>
          </a:prstGeom>
          <a:ln>
            <a:solidFill>
              <a:srgbClr val="C00000"/>
            </a:solidFill>
            <a:headEnd type="none" w="med" len="med"/>
            <a:tailEnd type="triangle" w="med" len="med"/>
          </a:ln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5</xdr:row>
      <xdr:rowOff>57150</xdr:rowOff>
    </xdr:from>
    <xdr:to>
      <xdr:col>7</xdr:col>
      <xdr:colOff>514350</xdr:colOff>
      <xdr:row>6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085850"/>
          <a:ext cx="196215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6</xdr:row>
      <xdr:rowOff>180975</xdr:rowOff>
    </xdr:from>
    <xdr:to>
      <xdr:col>6</xdr:col>
      <xdr:colOff>361950</xdr:colOff>
      <xdr:row>8</xdr:row>
      <xdr:rowOff>76200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1438275"/>
          <a:ext cx="1200150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381000</xdr:colOff>
      <xdr:row>9</xdr:row>
      <xdr:rowOff>133350</xdr:rowOff>
    </xdr:from>
    <xdr:to>
      <xdr:col>6</xdr:col>
      <xdr:colOff>352425</xdr:colOff>
      <xdr:row>11</xdr:row>
      <xdr:rowOff>123825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2085975"/>
          <a:ext cx="11906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57150</xdr:colOff>
      <xdr:row>17</xdr:row>
      <xdr:rowOff>47626</xdr:rowOff>
    </xdr:from>
    <xdr:to>
      <xdr:col>5</xdr:col>
      <xdr:colOff>581025</xdr:colOff>
      <xdr:row>18</xdr:row>
      <xdr:rowOff>1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3686176"/>
          <a:ext cx="113347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4F4F4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tabSelected="1" topLeftCell="A55" zoomScaleNormal="100" workbookViewId="0">
      <selection activeCell="K75" sqref="K75"/>
    </sheetView>
  </sheetViews>
  <sheetFormatPr defaultRowHeight="15" x14ac:dyDescent="0.25"/>
  <cols>
    <col min="2" max="2" width="10.5703125" bestFit="1" customWidth="1"/>
  </cols>
  <sheetData>
    <row r="1" spans="1:12" x14ac:dyDescent="0.25">
      <c r="A1" s="1" t="s">
        <v>11</v>
      </c>
    </row>
    <row r="3" spans="1:12" x14ac:dyDescent="0.25">
      <c r="A3" s="1" t="s">
        <v>14</v>
      </c>
    </row>
    <row r="4" spans="1:12" x14ac:dyDescent="0.25">
      <c r="A4" s="9" t="s">
        <v>0</v>
      </c>
      <c r="B4" s="5">
        <f>(7+2.4*SQRT(B5))/B6</f>
        <v>0.69681868454875406</v>
      </c>
      <c r="C4" t="s">
        <v>12</v>
      </c>
      <c r="D4" t="s">
        <v>13</v>
      </c>
      <c r="J4" t="s">
        <v>10</v>
      </c>
      <c r="K4" s="3" t="s">
        <v>0</v>
      </c>
      <c r="L4" s="2">
        <v>1</v>
      </c>
    </row>
    <row r="5" spans="1:12" x14ac:dyDescent="0.25">
      <c r="A5" s="10" t="s">
        <v>1</v>
      </c>
      <c r="B5" s="2">
        <v>50</v>
      </c>
      <c r="C5" t="s">
        <v>12</v>
      </c>
      <c r="D5" t="s">
        <v>9</v>
      </c>
    </row>
    <row r="6" spans="1:12" x14ac:dyDescent="0.25">
      <c r="A6" s="9" t="s">
        <v>2</v>
      </c>
      <c r="B6" s="2">
        <v>34.4</v>
      </c>
    </row>
    <row r="7" spans="1:12" x14ac:dyDescent="0.25">
      <c r="A7" s="6" t="s">
        <v>33</v>
      </c>
    </row>
    <row r="8" spans="1:12" x14ac:dyDescent="0.25">
      <c r="A8" s="1" t="s">
        <v>15</v>
      </c>
    </row>
    <row r="9" spans="1:12" x14ac:dyDescent="0.25">
      <c r="A9" t="s">
        <v>4</v>
      </c>
      <c r="B9" t="s">
        <v>7</v>
      </c>
    </row>
    <row r="11" spans="1:12" x14ac:dyDescent="0.25">
      <c r="A11" t="s">
        <v>6</v>
      </c>
      <c r="B11" t="s">
        <v>5</v>
      </c>
    </row>
    <row r="12" spans="1:12" x14ac:dyDescent="0.25">
      <c r="A12" s="9" t="s">
        <v>3</v>
      </c>
      <c r="B12" s="2">
        <f>B6*L4</f>
        <v>34.4</v>
      </c>
      <c r="C12" t="s">
        <v>8</v>
      </c>
      <c r="D12" t="s">
        <v>16</v>
      </c>
      <c r="F12" t="s">
        <v>10</v>
      </c>
      <c r="G12" s="3" t="s">
        <v>3</v>
      </c>
      <c r="H12" s="2">
        <v>34</v>
      </c>
    </row>
    <row r="14" spans="1:12" x14ac:dyDescent="0.25">
      <c r="A14" s="6" t="s">
        <v>33</v>
      </c>
    </row>
    <row r="15" spans="1:12" x14ac:dyDescent="0.25">
      <c r="A15" s="1" t="s">
        <v>17</v>
      </c>
    </row>
    <row r="17" spans="1:15" x14ac:dyDescent="0.25">
      <c r="A17" t="s">
        <v>22</v>
      </c>
      <c r="C17" s="3" t="s">
        <v>19</v>
      </c>
      <c r="D17" s="2">
        <v>9.5</v>
      </c>
    </row>
    <row r="18" spans="1:15" x14ac:dyDescent="0.25">
      <c r="A18" s="6" t="s">
        <v>33</v>
      </c>
    </row>
    <row r="19" spans="1:15" x14ac:dyDescent="0.25">
      <c r="A19" s="1" t="s">
        <v>18</v>
      </c>
    </row>
    <row r="21" spans="1:15" x14ac:dyDescent="0.25">
      <c r="A21" s="3" t="s">
        <v>20</v>
      </c>
      <c r="B21" s="5">
        <f>ATAN(L4/D17)*180/3.1416</f>
        <v>6.008991905857556</v>
      </c>
      <c r="C21" t="s">
        <v>44</v>
      </c>
    </row>
    <row r="22" spans="1:15" x14ac:dyDescent="0.25">
      <c r="A22" s="6" t="s">
        <v>33</v>
      </c>
    </row>
    <row r="23" spans="1:15" x14ac:dyDescent="0.25">
      <c r="A23" s="1" t="s">
        <v>21</v>
      </c>
    </row>
    <row r="25" spans="1:15" x14ac:dyDescent="0.25">
      <c r="A25" t="s">
        <v>32</v>
      </c>
    </row>
    <row r="26" spans="1:15" ht="18" x14ac:dyDescent="0.35">
      <c r="A26" s="4" t="s">
        <v>27</v>
      </c>
      <c r="B26" s="2">
        <v>0.5</v>
      </c>
    </row>
    <row r="27" spans="1:15" ht="18" x14ac:dyDescent="0.35">
      <c r="A27" s="4" t="s">
        <v>26</v>
      </c>
      <c r="B27" s="2">
        <v>0.49</v>
      </c>
    </row>
    <row r="29" spans="1:15" ht="18" x14ac:dyDescent="0.35">
      <c r="A29" s="4" t="s">
        <v>28</v>
      </c>
      <c r="B29" s="5">
        <f>(2*B5)/(H12+D17-2*B27)</f>
        <v>2.3518344308560675</v>
      </c>
      <c r="D29" t="s">
        <v>30</v>
      </c>
    </row>
    <row r="30" spans="1:15" ht="18" x14ac:dyDescent="0.35">
      <c r="A30" s="4" t="s">
        <v>29</v>
      </c>
      <c r="B30" s="5">
        <f>(2*B5)/(H12+D17+2*B26)</f>
        <v>2.2471910112359552</v>
      </c>
      <c r="D30" s="3" t="s">
        <v>31</v>
      </c>
      <c r="E30" s="2">
        <v>2.25</v>
      </c>
    </row>
    <row r="31" spans="1:15" x14ac:dyDescent="0.25">
      <c r="A31" s="6" t="s">
        <v>33</v>
      </c>
    </row>
    <row r="32" spans="1:15" x14ac:dyDescent="0.25">
      <c r="A32" s="1" t="s">
        <v>23</v>
      </c>
      <c r="N32" s="3" t="s">
        <v>3</v>
      </c>
      <c r="O32" s="2">
        <f>H12</f>
        <v>34</v>
      </c>
    </row>
    <row r="33" spans="1:18" x14ac:dyDescent="0.25">
      <c r="N33" s="3" t="s">
        <v>19</v>
      </c>
      <c r="O33" s="2">
        <f>D17</f>
        <v>9.5</v>
      </c>
    </row>
    <row r="34" spans="1:18" ht="18" x14ac:dyDescent="0.35">
      <c r="A34" s="4" t="s">
        <v>24</v>
      </c>
      <c r="B34" s="2">
        <f>0.5*E30*(H12+D17+2*B26)</f>
        <v>50.0625</v>
      </c>
      <c r="N34" s="3" t="s">
        <v>20</v>
      </c>
      <c r="O34" s="5">
        <f>B21</f>
        <v>6.008991905857556</v>
      </c>
      <c r="P34" t="s">
        <v>44</v>
      </c>
      <c r="Q34" s="8">
        <f>O34*3.1416/180</f>
        <v>0.10487693873023388</v>
      </c>
      <c r="R34" t="s">
        <v>52</v>
      </c>
    </row>
    <row r="35" spans="1:18" ht="18" x14ac:dyDescent="0.35">
      <c r="A35" s="4" t="s">
        <v>25</v>
      </c>
      <c r="B35" s="5">
        <f>0.5*E30*(H12+D17-2*B27)</f>
        <v>47.835000000000001</v>
      </c>
      <c r="J35" s="3" t="s">
        <v>1</v>
      </c>
      <c r="K35" s="2">
        <v>50</v>
      </c>
      <c r="M35" t="s">
        <v>10</v>
      </c>
      <c r="N35" s="3" t="s">
        <v>31</v>
      </c>
      <c r="O35" s="2">
        <f>E30</f>
        <v>2.25</v>
      </c>
      <c r="P35" t="s">
        <v>53</v>
      </c>
    </row>
    <row r="37" spans="1:18" x14ac:dyDescent="0.25">
      <c r="A37" s="6" t="s">
        <v>33</v>
      </c>
    </row>
    <row r="38" spans="1:18" x14ac:dyDescent="0.25">
      <c r="A38" s="1" t="s">
        <v>34</v>
      </c>
    </row>
    <row r="39" spans="1:18" x14ac:dyDescent="0.25">
      <c r="A39" s="3" t="s">
        <v>35</v>
      </c>
      <c r="B39" s="7">
        <f>K35/O35-O32/2-O33/2</f>
        <v>0.47222222222222143</v>
      </c>
    </row>
    <row r="41" spans="1:18" x14ac:dyDescent="0.25">
      <c r="A41" s="6" t="s">
        <v>33</v>
      </c>
    </row>
    <row r="42" spans="1:18" x14ac:dyDescent="0.25">
      <c r="A42" s="1" t="s">
        <v>36</v>
      </c>
    </row>
    <row r="43" spans="1:18" x14ac:dyDescent="0.25">
      <c r="A43" s="3" t="s">
        <v>37</v>
      </c>
      <c r="B43" s="5">
        <f>O33*O35</f>
        <v>21.375</v>
      </c>
      <c r="C43" t="s">
        <v>53</v>
      </c>
    </row>
    <row r="44" spans="1:18" x14ac:dyDescent="0.25">
      <c r="A44" s="3" t="s">
        <v>38</v>
      </c>
      <c r="B44" s="5">
        <f>O35</f>
        <v>2.25</v>
      </c>
      <c r="C44" t="s">
        <v>53</v>
      </c>
    </row>
    <row r="45" spans="1:18" x14ac:dyDescent="0.25">
      <c r="A45" s="3" t="s">
        <v>39</v>
      </c>
      <c r="B45" s="5">
        <f>O35*(2.2*COS(Q34)-1)</f>
        <v>2.6728019919609602</v>
      </c>
      <c r="C45" t="s">
        <v>53</v>
      </c>
    </row>
    <row r="46" spans="1:18" x14ac:dyDescent="0.25">
      <c r="A46" s="3" t="s">
        <v>40</v>
      </c>
      <c r="B46" s="5">
        <f>O35*(O33+2)</f>
        <v>25.875</v>
      </c>
      <c r="C46" t="s">
        <v>53</v>
      </c>
    </row>
    <row r="47" spans="1:18" x14ac:dyDescent="0.25">
      <c r="A47" s="3" t="s">
        <v>41</v>
      </c>
      <c r="B47" s="5">
        <f>B43-2*B45</f>
        <v>16.029396016078081</v>
      </c>
      <c r="C47" t="s">
        <v>53</v>
      </c>
    </row>
    <row r="48" spans="1:18" x14ac:dyDescent="0.25">
      <c r="A48" s="3" t="s">
        <v>42</v>
      </c>
      <c r="B48" s="5">
        <f>3.1416*L4*O35</f>
        <v>7.0686</v>
      </c>
      <c r="C48" t="s">
        <v>53</v>
      </c>
    </row>
    <row r="49" spans="1:11" x14ac:dyDescent="0.25">
      <c r="A49" s="3" t="s">
        <v>43</v>
      </c>
      <c r="B49" s="5">
        <f>14*O35*COS(Q34)</f>
        <v>31.326921767024288</v>
      </c>
      <c r="C49" t="s">
        <v>53</v>
      </c>
    </row>
    <row r="52" spans="1:11" x14ac:dyDescent="0.25">
      <c r="A52" s="6" t="s">
        <v>33</v>
      </c>
    </row>
    <row r="53" spans="1:11" x14ac:dyDescent="0.25">
      <c r="A53" s="1" t="s">
        <v>45</v>
      </c>
    </row>
    <row r="55" spans="1:11" x14ac:dyDescent="0.25">
      <c r="A55" s="3" t="s">
        <v>46</v>
      </c>
      <c r="B55" s="5">
        <f>(O32+2*B39)*O35</f>
        <v>78.625</v>
      </c>
      <c r="C55" t="s">
        <v>53</v>
      </c>
      <c r="G55" s="36" t="s">
        <v>281</v>
      </c>
      <c r="H55" s="31">
        <f>K35-B56/2</f>
        <v>8.4622254618536772</v>
      </c>
      <c r="I55" t="s">
        <v>53</v>
      </c>
    </row>
    <row r="56" spans="1:11" x14ac:dyDescent="0.25">
      <c r="A56" s="3" t="s">
        <v>47</v>
      </c>
      <c r="B56" s="5">
        <f>2*K35-(B47+2*B64)</f>
        <v>83.075549076292646</v>
      </c>
      <c r="C56" t="s">
        <v>53</v>
      </c>
      <c r="G56" s="36" t="s">
        <v>282</v>
      </c>
      <c r="H56" s="31">
        <f>B43/2</f>
        <v>10.6875</v>
      </c>
      <c r="I56" t="s">
        <v>53</v>
      </c>
    </row>
    <row r="57" spans="1:11" x14ac:dyDescent="0.25">
      <c r="A57" s="3" t="s">
        <v>48</v>
      </c>
      <c r="B57" s="5">
        <f>2*K35-(B46+2*B64)</f>
        <v>73.229945092370741</v>
      </c>
      <c r="C57" t="s">
        <v>53</v>
      </c>
      <c r="G57" s="36" t="s">
        <v>283</v>
      </c>
      <c r="H57" s="31">
        <f>K35-B57/2</f>
        <v>13.385027453814629</v>
      </c>
      <c r="I57" t="s">
        <v>53</v>
      </c>
      <c r="K57" s="32"/>
    </row>
    <row r="58" spans="1:11" x14ac:dyDescent="0.25">
      <c r="A58" s="3" t="s">
        <v>49</v>
      </c>
      <c r="B58" s="5">
        <f>B56+0.4*O35</f>
        <v>83.975549076292651</v>
      </c>
      <c r="C58" t="s">
        <v>53</v>
      </c>
    </row>
    <row r="59" spans="1:11" x14ac:dyDescent="0.25">
      <c r="A59" s="3" t="s">
        <v>50</v>
      </c>
      <c r="B59" s="5">
        <f>2*O35*SQRT(O33+1)</f>
        <v>14.581666571417685</v>
      </c>
      <c r="C59" t="s">
        <v>53</v>
      </c>
      <c r="H59" s="32">
        <f>B56/2+H55</f>
        <v>50</v>
      </c>
      <c r="K59" s="32"/>
    </row>
    <row r="60" spans="1:11" x14ac:dyDescent="0.25">
      <c r="A60" s="3" t="s">
        <v>51</v>
      </c>
      <c r="B60" s="5">
        <f>2.3*O35*SQRT(O33+1)</f>
        <v>16.768916557130339</v>
      </c>
      <c r="C60" t="s">
        <v>53</v>
      </c>
    </row>
    <row r="64" spans="1:11" x14ac:dyDescent="0.25">
      <c r="A64" s="11" t="s">
        <v>54</v>
      </c>
      <c r="B64" s="15">
        <f>0.2*O35*COS(Q34)</f>
        <v>0.44752745381463271</v>
      </c>
    </row>
    <row r="66" spans="1:19" x14ac:dyDescent="0.25">
      <c r="A66" s="48" t="s">
        <v>351</v>
      </c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</row>
    <row r="67" spans="1:19" x14ac:dyDescent="0.25">
      <c r="A67" s="48" t="s">
        <v>354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</row>
    <row r="68" spans="1:19" x14ac:dyDescent="0.25">
      <c r="A68" s="48" t="s">
        <v>353</v>
      </c>
      <c r="B68" s="48"/>
      <c r="C68" s="48"/>
      <c r="D68" s="48"/>
      <c r="E68" s="48"/>
      <c r="F68" s="48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</row>
    <row r="69" spans="1:19" x14ac:dyDescent="0.25">
      <c r="A69" s="49" t="s">
        <v>350</v>
      </c>
      <c r="B69" s="48"/>
      <c r="C69" s="48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</row>
    <row r="70" spans="1:19" x14ac:dyDescent="0.25">
      <c r="A70" s="50" t="s">
        <v>352</v>
      </c>
      <c r="B70" s="48"/>
      <c r="C70" s="48"/>
      <c r="D70" s="48"/>
      <c r="E70" s="48"/>
      <c r="F70" s="48"/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</row>
  </sheetData>
  <mergeCells count="5">
    <mergeCell ref="A66:S66"/>
    <mergeCell ref="A67:S67"/>
    <mergeCell ref="A68:S68"/>
    <mergeCell ref="A69:S69"/>
    <mergeCell ref="A70:S70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F22" sqref="F22"/>
    </sheetView>
  </sheetViews>
  <sheetFormatPr defaultRowHeight="15" x14ac:dyDescent="0.25"/>
  <cols>
    <col min="1" max="1" width="9.28515625" bestFit="1" customWidth="1"/>
    <col min="2" max="2" width="28.85546875" bestFit="1" customWidth="1"/>
  </cols>
  <sheetData>
    <row r="1" spans="1:3" x14ac:dyDescent="0.25">
      <c r="A1" s="9" t="s">
        <v>55</v>
      </c>
      <c r="B1" s="14">
        <v>1370</v>
      </c>
      <c r="C1" t="s">
        <v>58</v>
      </c>
    </row>
    <row r="2" spans="1:3" x14ac:dyDescent="0.25">
      <c r="A2" s="9" t="s">
        <v>57</v>
      </c>
      <c r="B2" s="13">
        <v>39.799999999999997</v>
      </c>
      <c r="C2" t="s">
        <v>58</v>
      </c>
    </row>
    <row r="3" spans="1:3" x14ac:dyDescent="0.25">
      <c r="A3" s="3" t="s">
        <v>56</v>
      </c>
      <c r="B3" s="5">
        <f>0.0000524*'Sem-fim e roda'!O35*Potências!B1*SQRT('Sem-fim e roda'!L4^2+'Sem-fim e roda'!O33^2)</f>
        <v>1.5429462910358382</v>
      </c>
      <c r="C3" t="s">
        <v>125</v>
      </c>
    </row>
    <row r="5" spans="1:3" x14ac:dyDescent="0.25">
      <c r="A5" s="9" t="s">
        <v>59</v>
      </c>
      <c r="B5" s="5">
        <v>0.13800000000000001</v>
      </c>
    </row>
    <row r="6" spans="1:3" x14ac:dyDescent="0.25">
      <c r="A6" s="9" t="s">
        <v>60</v>
      </c>
      <c r="B6" s="5">
        <v>0.34</v>
      </c>
    </row>
    <row r="7" spans="1:3" ht="18" x14ac:dyDescent="0.35">
      <c r="A7" s="16" t="s">
        <v>61</v>
      </c>
      <c r="B7" s="13">
        <v>15.2</v>
      </c>
    </row>
    <row r="8" spans="1:3" ht="18" x14ac:dyDescent="0.35">
      <c r="A8" s="16" t="s">
        <v>62</v>
      </c>
      <c r="B8" s="13">
        <v>9</v>
      </c>
    </row>
    <row r="9" spans="1:3" x14ac:dyDescent="0.25">
      <c r="A9" s="16" t="s">
        <v>64</v>
      </c>
      <c r="B9" s="7">
        <v>1.137</v>
      </c>
    </row>
    <row r="10" spans="1:3" x14ac:dyDescent="0.25">
      <c r="A10" s="3" t="s">
        <v>65</v>
      </c>
      <c r="B10" s="14">
        <f>(27000/(1000+B11))^(1/3)</f>
        <v>1</v>
      </c>
    </row>
    <row r="11" spans="1:3" x14ac:dyDescent="0.25">
      <c r="A11" s="16" t="s">
        <v>165</v>
      </c>
      <c r="B11" s="14">
        <v>26000</v>
      </c>
      <c r="C11" t="s">
        <v>67</v>
      </c>
    </row>
    <row r="12" spans="1:3" x14ac:dyDescent="0.25">
      <c r="A12" s="3" t="s">
        <v>66</v>
      </c>
      <c r="B12" s="5">
        <f>('Sem-fim e roda'!B46+2*'Sem-fim e roda'!B64)*ASIN('Sem-fim e roda'!B59/('Sem-fim e roda'!B46+2*'Sem-fim e roda'!B64))</f>
        <v>15.420411857305584</v>
      </c>
      <c r="C12" t="s">
        <v>53</v>
      </c>
    </row>
    <row r="13" spans="1:3" x14ac:dyDescent="0.25">
      <c r="A13" s="16" t="s">
        <v>68</v>
      </c>
      <c r="B13" s="5">
        <v>0.25</v>
      </c>
    </row>
    <row r="14" spans="1:3" x14ac:dyDescent="0.25">
      <c r="A14" s="16" t="s">
        <v>69</v>
      </c>
      <c r="B14" s="5">
        <v>0.47</v>
      </c>
    </row>
    <row r="15" spans="1:3" x14ac:dyDescent="0.25">
      <c r="A15" s="16" t="s">
        <v>70</v>
      </c>
      <c r="B15" s="14">
        <v>173</v>
      </c>
    </row>
    <row r="16" spans="1:3" x14ac:dyDescent="0.25">
      <c r="A16" s="16" t="s">
        <v>71</v>
      </c>
      <c r="B16" s="14">
        <v>69</v>
      </c>
    </row>
    <row r="17" spans="1:5" x14ac:dyDescent="0.25">
      <c r="A17" s="3" t="s">
        <v>72</v>
      </c>
      <c r="B17" s="14">
        <f>(26200/(200+B11))^(1/7)</f>
        <v>1</v>
      </c>
    </row>
    <row r="18" spans="1:5" x14ac:dyDescent="0.25">
      <c r="A18" s="3" t="s">
        <v>73</v>
      </c>
      <c r="B18" s="5">
        <f>0.00191*B5*B7*B9*('Sem-fim e roda'!B55)^1.8*'Sem-fim e roda'!O35*Potências!B10</f>
        <v>26.467212826274661</v>
      </c>
      <c r="C18" t="s">
        <v>85</v>
      </c>
      <c r="D18" s="12"/>
    </row>
    <row r="19" spans="1:5" x14ac:dyDescent="0.25">
      <c r="A19" s="3" t="s">
        <v>74</v>
      </c>
      <c r="B19" s="5">
        <f>0.00191*B6*B8*B9*('Sem-fim e roda'!B55)^1.8*'Sem-fim e roda'!O35*Potências!B10</f>
        <v>38.610636560068862</v>
      </c>
      <c r="C19" t="s">
        <v>85</v>
      </c>
    </row>
    <row r="20" spans="1:5" x14ac:dyDescent="0.25">
      <c r="A20" s="3" t="s">
        <v>75</v>
      </c>
      <c r="B20" s="5">
        <f>0.0018*B13*B15*'Sem-fim e roda'!O35*Potências!B12*'Sem-fim e roda'!B55*COS('Sem-fim e roda'!Q34)*Potências!B17</f>
        <v>211.20535993326624</v>
      </c>
      <c r="C20" t="s">
        <v>85</v>
      </c>
    </row>
    <row r="21" spans="1:5" x14ac:dyDescent="0.25">
      <c r="A21" s="3" t="s">
        <v>76</v>
      </c>
      <c r="B21" s="5">
        <f>0.0018*B14*B16*'Sem-fim e roda'!O35*Potências!B12*'Sem-fim e roda'!B55*COS('Sem-fim e roda'!Q34)*Potências!B17</f>
        <v>158.36739474302479</v>
      </c>
      <c r="C21" t="s">
        <v>85</v>
      </c>
    </row>
    <row r="22" spans="1:5" x14ac:dyDescent="0.25">
      <c r="A22" s="3" t="s">
        <v>77</v>
      </c>
      <c r="B22" s="7">
        <f>B18*B2/9550</f>
        <v>0.1103031487419614</v>
      </c>
      <c r="C22" t="s">
        <v>166</v>
      </c>
    </row>
    <row r="23" spans="1:5" x14ac:dyDescent="0.25">
      <c r="A23" s="3" t="s">
        <v>80</v>
      </c>
      <c r="B23" s="8">
        <v>4.2000000000000003E-2</v>
      </c>
    </row>
    <row r="24" spans="1:5" x14ac:dyDescent="0.25">
      <c r="A24" s="3" t="s">
        <v>167</v>
      </c>
      <c r="B24" s="8">
        <f>(TAN('Sem-fim e roda'!Q34)+TAN(Potências!B23))/(1-TAN('Sem-fim e roda'!Q34)*TAN(Potências!B23))</f>
        <v>0.14794231696170212</v>
      </c>
    </row>
    <row r="25" spans="1:5" x14ac:dyDescent="0.25">
      <c r="A25" s="11" t="s">
        <v>79</v>
      </c>
      <c r="B25" s="25">
        <f>(TAN('Sem-fim e roda'!Q34))/(B24)</f>
        <v>0.71151486644613204</v>
      </c>
    </row>
    <row r="26" spans="1:5" x14ac:dyDescent="0.25">
      <c r="A26" s="16" t="s">
        <v>81</v>
      </c>
      <c r="B26" s="14">
        <v>180</v>
      </c>
      <c r="C26" t="s">
        <v>78</v>
      </c>
    </row>
    <row r="27" spans="1:5" x14ac:dyDescent="0.25">
      <c r="A27" s="11" t="s">
        <v>77</v>
      </c>
      <c r="B27" s="14">
        <f>B26*B25</f>
        <v>128.07267596030377</v>
      </c>
      <c r="C27" t="s">
        <v>78</v>
      </c>
    </row>
    <row r="28" spans="1:5" x14ac:dyDescent="0.25">
      <c r="A28" s="11" t="s">
        <v>162</v>
      </c>
      <c r="B28" s="14">
        <f>B27*0.98</f>
        <v>125.51122244109769</v>
      </c>
      <c r="C28" t="s">
        <v>78</v>
      </c>
    </row>
    <row r="29" spans="1:5" x14ac:dyDescent="0.25">
      <c r="A29" s="11" t="s">
        <v>163</v>
      </c>
      <c r="B29" s="14">
        <f>B28/0.125</f>
        <v>1004.0897795287815</v>
      </c>
      <c r="C29" t="s">
        <v>164</v>
      </c>
    </row>
    <row r="30" spans="1:5" x14ac:dyDescent="0.25">
      <c r="E30">
        <f>112/0.125</f>
        <v>896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D1" sqref="D1"/>
    </sheetView>
  </sheetViews>
  <sheetFormatPr defaultRowHeight="15" x14ac:dyDescent="0.25"/>
  <sheetData>
    <row r="1" spans="1:3" x14ac:dyDescent="0.25">
      <c r="A1" s="9" t="s">
        <v>86</v>
      </c>
      <c r="B1" s="5">
        <v>1</v>
      </c>
    </row>
    <row r="2" spans="1:3" x14ac:dyDescent="0.25">
      <c r="A2" s="9" t="s">
        <v>2</v>
      </c>
      <c r="B2" s="5">
        <v>34.4</v>
      </c>
    </row>
    <row r="3" spans="1:3" x14ac:dyDescent="0.25">
      <c r="A3" s="9" t="s">
        <v>87</v>
      </c>
      <c r="B3" s="5">
        <f>34</f>
        <v>34</v>
      </c>
    </row>
    <row r="4" spans="1:3" ht="18" x14ac:dyDescent="0.35">
      <c r="A4" s="9" t="s">
        <v>82</v>
      </c>
      <c r="B4" s="5">
        <v>143.5</v>
      </c>
      <c r="C4" t="s">
        <v>83</v>
      </c>
    </row>
    <row r="5" spans="1:3" x14ac:dyDescent="0.25">
      <c r="A5" s="9" t="s">
        <v>84</v>
      </c>
      <c r="B5" s="5">
        <v>1.26</v>
      </c>
      <c r="C5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workbookViewId="0">
      <selection activeCell="E11" sqref="E11"/>
    </sheetView>
  </sheetViews>
  <sheetFormatPr defaultRowHeight="15.75" x14ac:dyDescent="0.25"/>
  <cols>
    <col min="1" max="1" width="9.85546875" style="19" customWidth="1"/>
    <col min="2" max="2" width="10.85546875" style="19" customWidth="1"/>
    <col min="3" max="3" width="60.7109375" style="20" bestFit="1" customWidth="1"/>
  </cols>
  <sheetData>
    <row r="1" spans="1:4" x14ac:dyDescent="0.25">
      <c r="A1" s="18" t="s">
        <v>108</v>
      </c>
    </row>
    <row r="4" spans="1:4" ht="31.5" x14ac:dyDescent="0.25">
      <c r="A4" s="21" t="s">
        <v>118</v>
      </c>
      <c r="B4" s="22" t="s">
        <v>109</v>
      </c>
      <c r="C4" s="23"/>
      <c r="D4" s="17"/>
    </row>
    <row r="5" spans="1:4" x14ac:dyDescent="0.25">
      <c r="A5" s="19" t="s">
        <v>100</v>
      </c>
      <c r="B5" s="19" t="s">
        <v>110</v>
      </c>
      <c r="C5" s="20" t="s">
        <v>63</v>
      </c>
    </row>
    <row r="6" spans="1:4" x14ac:dyDescent="0.25">
      <c r="A6" s="19" t="s">
        <v>101</v>
      </c>
      <c r="B6" s="19" t="s">
        <v>111</v>
      </c>
      <c r="C6" s="20" t="s">
        <v>102</v>
      </c>
    </row>
    <row r="7" spans="1:4" ht="18.75" x14ac:dyDescent="0.35">
      <c r="A7" s="19" t="s">
        <v>160</v>
      </c>
      <c r="B7" s="19" t="s">
        <v>130</v>
      </c>
      <c r="C7" s="20" t="s">
        <v>92</v>
      </c>
    </row>
    <row r="8" spans="1:4" ht="18.75" x14ac:dyDescent="0.35">
      <c r="A8" s="19" t="s">
        <v>161</v>
      </c>
      <c r="B8" s="19" t="s">
        <v>131</v>
      </c>
      <c r="C8" s="20" t="s">
        <v>93</v>
      </c>
    </row>
    <row r="9" spans="1:4" x14ac:dyDescent="0.25">
      <c r="A9" s="19" t="s">
        <v>88</v>
      </c>
      <c r="B9" s="19" t="s">
        <v>88</v>
      </c>
      <c r="C9" s="20" t="s">
        <v>91</v>
      </c>
    </row>
    <row r="10" spans="1:4" ht="18.75" x14ac:dyDescent="0.35">
      <c r="A10" s="19" t="s">
        <v>89</v>
      </c>
      <c r="B10" s="19" t="s">
        <v>132</v>
      </c>
      <c r="C10" s="20" t="s">
        <v>90</v>
      </c>
    </row>
    <row r="11" spans="1:4" x14ac:dyDescent="0.25">
      <c r="A11" s="19" t="s">
        <v>112</v>
      </c>
      <c r="B11" s="19" t="s">
        <v>122</v>
      </c>
      <c r="C11" s="20" t="s">
        <v>121</v>
      </c>
    </row>
    <row r="12" spans="1:4" x14ac:dyDescent="0.25">
      <c r="A12" s="19" t="s">
        <v>94</v>
      </c>
      <c r="C12" s="20" t="s">
        <v>95</v>
      </c>
    </row>
    <row r="13" spans="1:4" ht="18.75" x14ac:dyDescent="0.35">
      <c r="A13" s="24" t="s">
        <v>96</v>
      </c>
      <c r="B13" s="19" t="s">
        <v>133</v>
      </c>
      <c r="C13" s="20" t="s">
        <v>116</v>
      </c>
    </row>
    <row r="14" spans="1:4" ht="19.5" x14ac:dyDescent="0.35">
      <c r="A14" s="24" t="s">
        <v>176</v>
      </c>
      <c r="B14" s="19" t="s">
        <v>134</v>
      </c>
      <c r="C14" s="20" t="s">
        <v>115</v>
      </c>
    </row>
    <row r="15" spans="1:4" ht="18.75" x14ac:dyDescent="0.35">
      <c r="A15" s="19" t="s">
        <v>135</v>
      </c>
      <c r="B15" s="19" t="s">
        <v>136</v>
      </c>
      <c r="C15" s="20" t="s">
        <v>99</v>
      </c>
    </row>
    <row r="16" spans="1:4" ht="18.75" x14ac:dyDescent="0.35">
      <c r="A16" s="19" t="s">
        <v>137</v>
      </c>
      <c r="B16" s="19" t="s">
        <v>138</v>
      </c>
      <c r="C16" s="20" t="s">
        <v>113</v>
      </c>
    </row>
    <row r="17" spans="1:4" ht="18.75" x14ac:dyDescent="0.35">
      <c r="A17" s="19" t="s">
        <v>139</v>
      </c>
      <c r="B17" s="19" t="s">
        <v>140</v>
      </c>
      <c r="C17" s="20" t="s">
        <v>114</v>
      </c>
    </row>
    <row r="18" spans="1:4" ht="18.75" x14ac:dyDescent="0.35">
      <c r="A18" s="19" t="s">
        <v>141</v>
      </c>
      <c r="B18" s="19" t="s">
        <v>142</v>
      </c>
      <c r="C18" s="20" t="s">
        <v>97</v>
      </c>
    </row>
    <row r="19" spans="1:4" ht="18.75" x14ac:dyDescent="0.35">
      <c r="A19" s="19" t="s">
        <v>143</v>
      </c>
      <c r="B19" s="19" t="s">
        <v>143</v>
      </c>
      <c r="C19" s="20" t="s">
        <v>98</v>
      </c>
    </row>
    <row r="20" spans="1:4" ht="18.75" x14ac:dyDescent="0.35">
      <c r="A20" s="19" t="s">
        <v>144</v>
      </c>
      <c r="B20" s="19" t="s">
        <v>145</v>
      </c>
      <c r="C20" s="20" t="s">
        <v>103</v>
      </c>
    </row>
    <row r="21" spans="1:4" ht="18.75" x14ac:dyDescent="0.35">
      <c r="A21" s="19" t="s">
        <v>146</v>
      </c>
      <c r="C21" s="20" t="s">
        <v>104</v>
      </c>
    </row>
    <row r="22" spans="1:4" ht="18.75" x14ac:dyDescent="0.35">
      <c r="A22" s="19" t="s">
        <v>147</v>
      </c>
      <c r="B22" s="19" t="s">
        <v>148</v>
      </c>
      <c r="C22" s="20" t="s">
        <v>99</v>
      </c>
    </row>
    <row r="23" spans="1:4" ht="18.75" x14ac:dyDescent="0.35">
      <c r="A23" s="19" t="s">
        <v>149</v>
      </c>
      <c r="B23" s="19" t="s">
        <v>150</v>
      </c>
      <c r="C23" s="20" t="s">
        <v>107</v>
      </c>
    </row>
    <row r="24" spans="1:4" ht="18.75" x14ac:dyDescent="0.35">
      <c r="A24" s="19" t="s">
        <v>151</v>
      </c>
      <c r="C24" s="20" t="s">
        <v>106</v>
      </c>
    </row>
    <row r="25" spans="1:4" ht="18.75" x14ac:dyDescent="0.35">
      <c r="A25" s="19" t="s">
        <v>152</v>
      </c>
      <c r="B25" s="19" t="s">
        <v>153</v>
      </c>
      <c r="C25" s="20" t="s">
        <v>105</v>
      </c>
    </row>
    <row r="26" spans="1:4" x14ac:dyDescent="0.25">
      <c r="B26" s="19" t="s">
        <v>119</v>
      </c>
      <c r="C26" s="20" t="s">
        <v>120</v>
      </c>
    </row>
    <row r="27" spans="1:4" ht="18.75" x14ac:dyDescent="0.35">
      <c r="B27" s="19" t="s">
        <v>154</v>
      </c>
      <c r="C27" s="20" t="s">
        <v>117</v>
      </c>
    </row>
    <row r="28" spans="1:4" ht="18.75" x14ac:dyDescent="0.35">
      <c r="B28" s="19" t="s">
        <v>155</v>
      </c>
    </row>
    <row r="29" spans="1:4" ht="18.75" x14ac:dyDescent="0.35">
      <c r="B29" s="19" t="s">
        <v>156</v>
      </c>
    </row>
    <row r="30" spans="1:4" ht="18.75" x14ac:dyDescent="0.35">
      <c r="B30" s="19" t="s">
        <v>157</v>
      </c>
      <c r="C30" s="20" t="s">
        <v>123</v>
      </c>
      <c r="D30" t="s">
        <v>125</v>
      </c>
    </row>
    <row r="31" spans="1:4" ht="18.75" x14ac:dyDescent="0.35">
      <c r="A31" s="19" t="s">
        <v>169</v>
      </c>
      <c r="B31" s="19" t="s">
        <v>158</v>
      </c>
      <c r="C31" s="20" t="s">
        <v>124</v>
      </c>
      <c r="D31" t="s">
        <v>125</v>
      </c>
    </row>
    <row r="32" spans="1:4" ht="18.75" x14ac:dyDescent="0.35">
      <c r="B32" s="19" t="s">
        <v>159</v>
      </c>
      <c r="C32" s="20" t="s">
        <v>168</v>
      </c>
      <c r="D32" t="s">
        <v>85</v>
      </c>
    </row>
    <row r="33" spans="2:4" x14ac:dyDescent="0.25">
      <c r="B33" s="19" t="s">
        <v>126</v>
      </c>
      <c r="C33" s="20" t="s">
        <v>127</v>
      </c>
      <c r="D33" t="s">
        <v>53</v>
      </c>
    </row>
    <row r="34" spans="2:4" x14ac:dyDescent="0.25">
      <c r="B34" s="19" t="s">
        <v>128</v>
      </c>
      <c r="C34" s="20" t="s">
        <v>129</v>
      </c>
      <c r="D34" t="s">
        <v>78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M30" sqref="M30"/>
    </sheetView>
  </sheetViews>
  <sheetFormatPr defaultRowHeight="15" x14ac:dyDescent="0.25"/>
  <cols>
    <col min="1" max="1" width="10.85546875" customWidth="1"/>
    <col min="5" max="5" width="11.28515625" customWidth="1"/>
    <col min="14" max="14" width="11.5703125" bestFit="1" customWidth="1"/>
  </cols>
  <sheetData>
    <row r="1" spans="1:10" x14ac:dyDescent="0.25">
      <c r="A1" s="9" t="s">
        <v>174</v>
      </c>
      <c r="B1" s="2">
        <f>1.26*H9</f>
        <v>2.016</v>
      </c>
      <c r="C1" t="s">
        <v>85</v>
      </c>
      <c r="D1" t="s">
        <v>201</v>
      </c>
    </row>
    <row r="2" spans="1:10" x14ac:dyDescent="0.25">
      <c r="A2" s="9" t="s">
        <v>173</v>
      </c>
      <c r="B2" s="2">
        <v>700</v>
      </c>
      <c r="C2" t="s">
        <v>170</v>
      </c>
    </row>
    <row r="3" spans="1:10" x14ac:dyDescent="0.25">
      <c r="A3" s="9" t="s">
        <v>171</v>
      </c>
      <c r="B3" s="2">
        <v>19.5</v>
      </c>
      <c r="C3" t="s">
        <v>172</v>
      </c>
      <c r="E3" t="s">
        <v>227</v>
      </c>
      <c r="F3">
        <v>16</v>
      </c>
      <c r="G3" t="s">
        <v>53</v>
      </c>
    </row>
    <row r="4" spans="1:10" x14ac:dyDescent="0.25">
      <c r="A4" s="3" t="s">
        <v>175</v>
      </c>
      <c r="B4" s="5">
        <f>(16*B1*1000/(PI()*B3))^(1/3)</f>
        <v>8.0749902903183894</v>
      </c>
      <c r="C4" t="s">
        <v>53</v>
      </c>
      <c r="E4" t="s">
        <v>226</v>
      </c>
      <c r="F4">
        <v>30</v>
      </c>
      <c r="G4" t="s">
        <v>53</v>
      </c>
    </row>
    <row r="5" spans="1:10" x14ac:dyDescent="0.25">
      <c r="A5" s="6" t="s">
        <v>33</v>
      </c>
    </row>
    <row r="6" spans="1:10" x14ac:dyDescent="0.25">
      <c r="A6" s="1" t="s">
        <v>181</v>
      </c>
    </row>
    <row r="8" spans="1:10" x14ac:dyDescent="0.25">
      <c r="A8" s="3" t="s">
        <v>236</v>
      </c>
      <c r="B8" s="14">
        <f>(2000*B1)/'Sem-fim e roda'!B43</f>
        <v>188.63157894736841</v>
      </c>
      <c r="C8" t="s">
        <v>164</v>
      </c>
    </row>
    <row r="9" spans="1:10" ht="18" x14ac:dyDescent="0.35">
      <c r="A9" s="3" t="s">
        <v>237</v>
      </c>
      <c r="B9" s="5">
        <f>ATAN(('Sem-fim e roda'!O35*'Sem-fim e roda'!L4)/'Sem-fim e roda'!B43)</f>
        <v>0.10487693873023389</v>
      </c>
      <c r="C9" t="s">
        <v>52</v>
      </c>
      <c r="D9" s="29">
        <f>B9*180/PI()</f>
        <v>6.0090059574945247</v>
      </c>
      <c r="E9" t="s">
        <v>44</v>
      </c>
      <c r="F9" s="3"/>
      <c r="G9" s="3" t="s">
        <v>288</v>
      </c>
      <c r="H9" s="13">
        <v>1.6</v>
      </c>
      <c r="I9" s="36" t="s">
        <v>289</v>
      </c>
      <c r="J9" s="37" t="s">
        <v>287</v>
      </c>
    </row>
    <row r="10" spans="1:10" x14ac:dyDescent="0.25">
      <c r="A10" s="9" t="s">
        <v>178</v>
      </c>
      <c r="B10" s="7">
        <v>3.5999999999999997E-2</v>
      </c>
      <c r="D10" s="29"/>
      <c r="I10" s="38" t="s">
        <v>290</v>
      </c>
      <c r="J10" s="37" t="s">
        <v>286</v>
      </c>
    </row>
    <row r="11" spans="1:10" x14ac:dyDescent="0.25">
      <c r="A11" s="26" t="s">
        <v>177</v>
      </c>
      <c r="B11" s="7">
        <f>ATAN(B10)</f>
        <v>3.5984460082051591E-2</v>
      </c>
      <c r="D11" s="29"/>
      <c r="I11" s="38" t="s">
        <v>291</v>
      </c>
      <c r="J11" t="s">
        <v>285</v>
      </c>
    </row>
    <row r="12" spans="1:10" x14ac:dyDescent="0.25">
      <c r="A12" s="3" t="s">
        <v>235</v>
      </c>
      <c r="B12" s="14">
        <f>B8*_xlfn.COT(B10+B9)</f>
        <v>1330.1115574580435</v>
      </c>
      <c r="C12" t="s">
        <v>164</v>
      </c>
      <c r="D12" s="29"/>
    </row>
    <row r="13" spans="1:10" x14ac:dyDescent="0.25">
      <c r="A13" s="9" t="s">
        <v>179</v>
      </c>
      <c r="B13" s="14">
        <v>20</v>
      </c>
      <c r="C13" t="s">
        <v>44</v>
      </c>
      <c r="D13" s="29">
        <f>B13*PI()/180</f>
        <v>0.3490658503988659</v>
      </c>
      <c r="E13" t="s">
        <v>52</v>
      </c>
    </row>
    <row r="14" spans="1:10" x14ac:dyDescent="0.25">
      <c r="A14" s="3" t="s">
        <v>180</v>
      </c>
      <c r="B14" s="14">
        <f>(B12*TAN(D13))/COS(B9)</f>
        <v>486.79573726424462</v>
      </c>
      <c r="C14" t="s">
        <v>164</v>
      </c>
    </row>
    <row r="16" spans="1:10" x14ac:dyDescent="0.25">
      <c r="A16" s="6" t="s">
        <v>33</v>
      </c>
    </row>
    <row r="17" spans="1:15" x14ac:dyDescent="0.25">
      <c r="A17" s="1" t="s">
        <v>190</v>
      </c>
    </row>
    <row r="18" spans="1:15" x14ac:dyDescent="0.25">
      <c r="A18" s="1" t="s">
        <v>274</v>
      </c>
    </row>
    <row r="19" spans="1:15" x14ac:dyDescent="0.25">
      <c r="A19" t="s">
        <v>175</v>
      </c>
      <c r="B19" s="30">
        <v>16</v>
      </c>
      <c r="C19" t="s">
        <v>53</v>
      </c>
    </row>
    <row r="20" spans="1:15" x14ac:dyDescent="0.25">
      <c r="A20" t="s">
        <v>185</v>
      </c>
      <c r="B20" s="31">
        <f>2*'Sem-fim e roda'!O35*(1+SQRT('Sem-fim e roda'!H12))</f>
        <v>30.739283526803852</v>
      </c>
      <c r="C20" t="s">
        <v>53</v>
      </c>
      <c r="D20" s="15">
        <f>B20/1000</f>
        <v>3.0739283526803853E-2</v>
      </c>
      <c r="E20" t="s">
        <v>88</v>
      </c>
      <c r="I20" t="s">
        <v>194</v>
      </c>
      <c r="J20" s="28">
        <f>B29</f>
        <v>1330.1115574580435</v>
      </c>
      <c r="K20" t="s">
        <v>164</v>
      </c>
      <c r="L20" s="35" t="s">
        <v>229</v>
      </c>
    </row>
    <row r="21" spans="1:15" x14ac:dyDescent="0.25">
      <c r="A21" t="s">
        <v>182</v>
      </c>
      <c r="B21" s="30">
        <f>B22+B23</f>
        <v>93</v>
      </c>
      <c r="C21" t="s">
        <v>53</v>
      </c>
      <c r="D21">
        <f t="shared" ref="D21:D23" si="0">B21/1000</f>
        <v>9.2999999999999999E-2</v>
      </c>
      <c r="E21" t="s">
        <v>88</v>
      </c>
      <c r="I21" t="s">
        <v>195</v>
      </c>
      <c r="J21" s="28">
        <f>SQRT(B26^2+B28^2)</f>
        <v>130.74164380897506</v>
      </c>
      <c r="K21" t="s">
        <v>164</v>
      </c>
    </row>
    <row r="22" spans="1:15" x14ac:dyDescent="0.25">
      <c r="A22" t="s">
        <v>183</v>
      </c>
      <c r="B22" s="30">
        <v>46.5</v>
      </c>
      <c r="C22" t="s">
        <v>53</v>
      </c>
      <c r="D22">
        <f t="shared" si="0"/>
        <v>4.65E-2</v>
      </c>
      <c r="E22" t="s">
        <v>88</v>
      </c>
      <c r="I22" t="s">
        <v>189</v>
      </c>
      <c r="J22" s="28">
        <f>SQRT(B25^2+B27^2)</f>
        <v>407.32327390991685</v>
      </c>
      <c r="K22" t="s">
        <v>164</v>
      </c>
      <c r="L22" t="s">
        <v>234</v>
      </c>
    </row>
    <row r="23" spans="1:15" x14ac:dyDescent="0.25">
      <c r="A23" t="s">
        <v>184</v>
      </c>
      <c r="B23" s="30">
        <v>46.5</v>
      </c>
      <c r="C23" t="s">
        <v>53</v>
      </c>
      <c r="D23">
        <f t="shared" si="0"/>
        <v>4.65E-2</v>
      </c>
      <c r="E23" t="s">
        <v>88</v>
      </c>
    </row>
    <row r="24" spans="1:15" x14ac:dyDescent="0.25">
      <c r="B24" s="30"/>
      <c r="I24" t="s">
        <v>209</v>
      </c>
      <c r="J24">
        <v>10</v>
      </c>
      <c r="K24" t="s">
        <v>53</v>
      </c>
    </row>
    <row r="25" spans="1:15" x14ac:dyDescent="0.25">
      <c r="A25" t="s">
        <v>186</v>
      </c>
      <c r="B25" s="28">
        <f>(-B12*(('Sem-fim e roda'!B43)/2000)-D22*B14)/D21</f>
        <v>-396.25343067871199</v>
      </c>
      <c r="C25" t="s">
        <v>164</v>
      </c>
    </row>
    <row r="26" spans="1:15" x14ac:dyDescent="0.25">
      <c r="A26" t="s">
        <v>193</v>
      </c>
      <c r="B26" s="28">
        <f>-B14-B25</f>
        <v>-90.542306585532629</v>
      </c>
      <c r="C26" t="s">
        <v>164</v>
      </c>
      <c r="G26" s="33">
        <f>B12*'Sem-fim e roda'!B43/2000</f>
        <v>14.215567270332841</v>
      </c>
      <c r="H26" t="s">
        <v>85</v>
      </c>
      <c r="I26" t="s">
        <v>242</v>
      </c>
      <c r="J26">
        <v>1.2370000000000001E-2</v>
      </c>
      <c r="K26" t="s">
        <v>53</v>
      </c>
      <c r="M26" s="42">
        <v>0.02</v>
      </c>
      <c r="N26" t="s">
        <v>313</v>
      </c>
      <c r="O26" t="s">
        <v>314</v>
      </c>
    </row>
    <row r="27" spans="1:15" x14ac:dyDescent="0.25">
      <c r="A27" t="s">
        <v>187</v>
      </c>
      <c r="B27" s="28">
        <f>(D22*B8)/D21</f>
        <v>94.31578947368422</v>
      </c>
      <c r="C27" t="s">
        <v>164</v>
      </c>
      <c r="I27" t="s">
        <v>240</v>
      </c>
      <c r="J27">
        <v>5.7000000000000002E-3</v>
      </c>
      <c r="K27" t="s">
        <v>53</v>
      </c>
      <c r="L27" s="36" t="s">
        <v>31</v>
      </c>
      <c r="M27" s="30">
        <f>'Sem-fim e roda'!E30</f>
        <v>2.25</v>
      </c>
      <c r="N27" t="s">
        <v>53</v>
      </c>
    </row>
    <row r="28" spans="1:15" x14ac:dyDescent="0.25">
      <c r="A28" t="s">
        <v>188</v>
      </c>
      <c r="B28" s="28">
        <f>+B8-B27</f>
        <v>94.315789473684191</v>
      </c>
      <c r="C28" t="s">
        <v>164</v>
      </c>
      <c r="I28" t="s">
        <v>241</v>
      </c>
      <c r="J28">
        <f>SQRT(J27^2+J26^2)</f>
        <v>1.3620091776489615E-2</v>
      </c>
      <c r="K28" t="s">
        <v>53</v>
      </c>
      <c r="L28" s="30" t="s">
        <v>273</v>
      </c>
      <c r="M28" s="30">
        <f>M27*M26</f>
        <v>4.4999999999999998E-2</v>
      </c>
      <c r="N28" t="s">
        <v>53</v>
      </c>
    </row>
    <row r="29" spans="1:15" x14ac:dyDescent="0.25">
      <c r="A29" t="s">
        <v>192</v>
      </c>
      <c r="B29" s="28">
        <f>B12</f>
        <v>1330.1115574580435</v>
      </c>
      <c r="C29" t="s">
        <v>164</v>
      </c>
    </row>
    <row r="31" spans="1:15" x14ac:dyDescent="0.25">
      <c r="A31" s="1" t="s">
        <v>191</v>
      </c>
    </row>
    <row r="32" spans="1:15" x14ac:dyDescent="0.25">
      <c r="A32" t="s">
        <v>175</v>
      </c>
      <c r="B32">
        <v>30</v>
      </c>
      <c r="C32" t="s">
        <v>53</v>
      </c>
    </row>
    <row r="33" spans="1:14" x14ac:dyDescent="0.25">
      <c r="A33" t="s">
        <v>196</v>
      </c>
      <c r="B33">
        <f>30.6*H9</f>
        <v>48.960000000000008</v>
      </c>
      <c r="C33" t="s">
        <v>85</v>
      </c>
      <c r="D33" t="s">
        <v>201</v>
      </c>
    </row>
    <row r="34" spans="1:14" x14ac:dyDescent="0.25">
      <c r="A34" t="s">
        <v>197</v>
      </c>
      <c r="B34">
        <v>60.89</v>
      </c>
      <c r="C34" t="s">
        <v>53</v>
      </c>
      <c r="D34" t="s">
        <v>238</v>
      </c>
    </row>
    <row r="35" spans="1:14" x14ac:dyDescent="0.25">
      <c r="A35" t="s">
        <v>198</v>
      </c>
      <c r="B35" s="27">
        <f>(2000*B33)/(B34)</f>
        <v>1608.1458367548039</v>
      </c>
      <c r="C35" t="s">
        <v>164</v>
      </c>
    </row>
    <row r="36" spans="1:14" x14ac:dyDescent="0.25">
      <c r="A36" t="s">
        <v>200</v>
      </c>
      <c r="B36">
        <v>20</v>
      </c>
      <c r="C36" t="s">
        <v>44</v>
      </c>
      <c r="G36" s="32">
        <f>B8*'Sem-fim e roda'!B55/2000</f>
        <v>7.415578947368421</v>
      </c>
      <c r="H36" t="s">
        <v>85</v>
      </c>
    </row>
    <row r="37" spans="1:14" x14ac:dyDescent="0.25">
      <c r="A37" t="s">
        <v>199</v>
      </c>
      <c r="B37" s="27">
        <f>B35*TAN(B36*PI()/180)</f>
        <v>585.31721693786392</v>
      </c>
      <c r="C37" t="s">
        <v>164</v>
      </c>
    </row>
    <row r="38" spans="1:14" x14ac:dyDescent="0.25">
      <c r="H38" t="s">
        <v>209</v>
      </c>
      <c r="I38">
        <v>13</v>
      </c>
      <c r="J38" t="s">
        <v>53</v>
      </c>
    </row>
    <row r="39" spans="1:14" x14ac:dyDescent="0.25">
      <c r="M39" t="s">
        <v>239</v>
      </c>
      <c r="N39">
        <v>5.7999999999999996E-3</v>
      </c>
    </row>
    <row r="40" spans="1:14" x14ac:dyDescent="0.25">
      <c r="A40" t="s">
        <v>202</v>
      </c>
      <c r="B40">
        <v>42.5</v>
      </c>
      <c r="C40" t="s">
        <v>53</v>
      </c>
      <c r="E40">
        <f>B40*0.001</f>
        <v>4.2500000000000003E-2</v>
      </c>
      <c r="F40" t="s">
        <v>88</v>
      </c>
      <c r="M40" t="s">
        <v>240</v>
      </c>
      <c r="N40">
        <v>2.085E-2</v>
      </c>
    </row>
    <row r="41" spans="1:14" x14ac:dyDescent="0.25">
      <c r="A41" t="s">
        <v>203</v>
      </c>
      <c r="B41">
        <v>33.799999999999997</v>
      </c>
      <c r="C41" t="s">
        <v>53</v>
      </c>
      <c r="E41">
        <f t="shared" ref="E41:E42" si="1">B41*0.001</f>
        <v>3.3799999999999997E-2</v>
      </c>
      <c r="F41" t="s">
        <v>88</v>
      </c>
      <c r="M41" t="s">
        <v>241</v>
      </c>
      <c r="N41">
        <f>SQRT(N40^2+N39^2)</f>
        <v>2.1641684315228331E-2</v>
      </c>
    </row>
    <row r="42" spans="1:14" x14ac:dyDescent="0.25">
      <c r="A42" t="s">
        <v>204</v>
      </c>
      <c r="B42">
        <f>B41*2</f>
        <v>67.599999999999994</v>
      </c>
      <c r="C42" t="s">
        <v>53</v>
      </c>
      <c r="E42">
        <f t="shared" si="1"/>
        <v>6.7599999999999993E-2</v>
      </c>
      <c r="F42" t="s">
        <v>88</v>
      </c>
    </row>
    <row r="44" spans="1:14" x14ac:dyDescent="0.25">
      <c r="A44" t="s">
        <v>230</v>
      </c>
      <c r="B44" s="27">
        <f>-B8</f>
        <v>-188.63157894736841</v>
      </c>
      <c r="C44" t="s">
        <v>164</v>
      </c>
      <c r="E44" t="s">
        <v>231</v>
      </c>
      <c r="F44" s="27">
        <f>B44</f>
        <v>-188.63157894736841</v>
      </c>
      <c r="G44" t="s">
        <v>164</v>
      </c>
    </row>
    <row r="45" spans="1:14" x14ac:dyDescent="0.25">
      <c r="A45" t="s">
        <v>205</v>
      </c>
      <c r="B45" s="27">
        <f>(-B37*E40+B8*('Sem-fim e roda'!B55/2000)+Veios!B14*Veios!E41)/Veios!E42</f>
        <v>-14.892113209457587</v>
      </c>
      <c r="C45" t="s">
        <v>164</v>
      </c>
      <c r="E45" t="s">
        <v>232</v>
      </c>
      <c r="F45" s="27">
        <f>SQRT(B45^2+B47^2)</f>
        <v>1676.1603685790094</v>
      </c>
      <c r="G45" t="s">
        <v>164</v>
      </c>
    </row>
    <row r="46" spans="1:14" x14ac:dyDescent="0.25">
      <c r="A46" t="s">
        <v>206</v>
      </c>
      <c r="B46" s="27">
        <f>-B45+B37+B14</f>
        <v>1087.005067411566</v>
      </c>
      <c r="C46" t="s">
        <v>164</v>
      </c>
      <c r="E46" t="s">
        <v>233</v>
      </c>
      <c r="F46" s="27">
        <f>SQRT(B46^2+B48^2)</f>
        <v>2236.1122904525464</v>
      </c>
      <c r="G46" t="s">
        <v>164</v>
      </c>
      <c r="H46" t="s">
        <v>234</v>
      </c>
    </row>
    <row r="47" spans="1:14" x14ac:dyDescent="0.25">
      <c r="A47" t="s">
        <v>207</v>
      </c>
      <c r="B47" s="27">
        <f>(B35*E40+B12*E41)/E42</f>
        <v>1676.0942116000156</v>
      </c>
      <c r="C47" t="s">
        <v>164</v>
      </c>
    </row>
    <row r="48" spans="1:14" x14ac:dyDescent="0.25">
      <c r="A48" t="s">
        <v>208</v>
      </c>
      <c r="B48" s="27">
        <f>-B35-B47+B12</f>
        <v>-1954.1284908967759</v>
      </c>
      <c r="C48" t="s">
        <v>164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topLeftCell="A37" workbookViewId="0">
      <selection activeCell="E44" sqref="E44"/>
    </sheetView>
  </sheetViews>
  <sheetFormatPr defaultRowHeight="15" x14ac:dyDescent="0.25"/>
  <cols>
    <col min="1" max="1" width="14.42578125" customWidth="1"/>
  </cols>
  <sheetData>
    <row r="1" spans="1:4" x14ac:dyDescent="0.25">
      <c r="A1" s="6" t="s">
        <v>33</v>
      </c>
    </row>
    <row r="2" spans="1:4" ht="18.75" x14ac:dyDescent="0.3">
      <c r="A2" s="34" t="s">
        <v>222</v>
      </c>
    </row>
    <row r="3" spans="1:4" x14ac:dyDescent="0.25">
      <c r="A3" s="36" t="s">
        <v>220</v>
      </c>
      <c r="B3" s="30">
        <v>11</v>
      </c>
      <c r="C3" t="s">
        <v>53</v>
      </c>
    </row>
    <row r="4" spans="1:4" x14ac:dyDescent="0.25">
      <c r="A4" s="36" t="s">
        <v>210</v>
      </c>
      <c r="B4" s="30">
        <v>4</v>
      </c>
      <c r="C4" t="s">
        <v>53</v>
      </c>
    </row>
    <row r="5" spans="1:4" x14ac:dyDescent="0.25">
      <c r="A5" s="36" t="s">
        <v>211</v>
      </c>
      <c r="B5" s="30">
        <v>4</v>
      </c>
      <c r="C5" t="s">
        <v>53</v>
      </c>
    </row>
    <row r="6" spans="1:4" x14ac:dyDescent="0.25">
      <c r="A6" s="36" t="s">
        <v>212</v>
      </c>
      <c r="B6" s="30">
        <v>2.4</v>
      </c>
    </row>
    <row r="7" spans="1:4" x14ac:dyDescent="0.25">
      <c r="A7" s="36" t="s">
        <v>213</v>
      </c>
      <c r="B7" s="30">
        <f>B3+1.7</f>
        <v>12.7</v>
      </c>
      <c r="C7" t="s">
        <v>53</v>
      </c>
    </row>
    <row r="8" spans="1:4" x14ac:dyDescent="0.25">
      <c r="A8" s="36" t="s">
        <v>214</v>
      </c>
      <c r="B8" s="30">
        <v>0.1</v>
      </c>
    </row>
    <row r="9" spans="1:4" x14ac:dyDescent="0.25">
      <c r="A9" s="36" t="s">
        <v>177</v>
      </c>
      <c r="B9" s="30">
        <v>0.2</v>
      </c>
    </row>
    <row r="10" spans="1:4" x14ac:dyDescent="0.25">
      <c r="A10" s="36"/>
      <c r="B10" s="30"/>
    </row>
    <row r="11" spans="1:4" x14ac:dyDescent="0.25">
      <c r="A11" s="36" t="s">
        <v>218</v>
      </c>
      <c r="B11" s="30">
        <f>Veios!B1</f>
        <v>2.016</v>
      </c>
      <c r="C11" t="s">
        <v>85</v>
      </c>
      <c r="D11" t="s">
        <v>201</v>
      </c>
    </row>
    <row r="12" spans="1:4" x14ac:dyDescent="0.25">
      <c r="A12" s="36" t="s">
        <v>215</v>
      </c>
      <c r="B12" s="30">
        <v>0.84</v>
      </c>
    </row>
    <row r="13" spans="1:4" x14ac:dyDescent="0.25">
      <c r="A13" s="36" t="s">
        <v>216</v>
      </c>
      <c r="B13" s="30">
        <v>0.7</v>
      </c>
    </row>
    <row r="14" spans="1:4" x14ac:dyDescent="0.25">
      <c r="A14" s="36" t="s">
        <v>217</v>
      </c>
      <c r="B14" s="30">
        <v>80</v>
      </c>
      <c r="C14" t="s">
        <v>170</v>
      </c>
    </row>
    <row r="15" spans="1:4" x14ac:dyDescent="0.25">
      <c r="A15" s="36"/>
      <c r="B15" s="30"/>
    </row>
    <row r="16" spans="1:4" x14ac:dyDescent="0.25">
      <c r="A16" s="3" t="s">
        <v>31</v>
      </c>
      <c r="B16" s="29">
        <f>B12*B11^(1/3)</f>
        <v>1.0611484124062716</v>
      </c>
      <c r="C16" t="s">
        <v>53</v>
      </c>
    </row>
    <row r="17" spans="1:6" x14ac:dyDescent="0.25">
      <c r="A17" s="3" t="s">
        <v>219</v>
      </c>
      <c r="B17" s="29">
        <f>B13*B11^(1/3)</f>
        <v>0.88429034367189296</v>
      </c>
      <c r="C17" t="s">
        <v>53</v>
      </c>
    </row>
    <row r="18" spans="1:6" x14ac:dyDescent="0.25">
      <c r="A18" s="3" t="s">
        <v>221</v>
      </c>
      <c r="B18" s="31">
        <f>B11/((B5-B6)*(B3/2000)*B14)</f>
        <v>2.8636363636363633</v>
      </c>
      <c r="C18" t="s">
        <v>53</v>
      </c>
      <c r="D18" t="s">
        <v>10</v>
      </c>
      <c r="E18">
        <v>3</v>
      </c>
      <c r="F18" t="s">
        <v>53</v>
      </c>
    </row>
    <row r="20" spans="1:6" x14ac:dyDescent="0.25">
      <c r="A20" s="6" t="s">
        <v>33</v>
      </c>
    </row>
    <row r="21" spans="1:6" ht="18.75" x14ac:dyDescent="0.3">
      <c r="A21" s="34" t="s">
        <v>223</v>
      </c>
    </row>
    <row r="22" spans="1:6" x14ac:dyDescent="0.25">
      <c r="A22" s="1" t="s">
        <v>224</v>
      </c>
    </row>
    <row r="23" spans="1:6" x14ac:dyDescent="0.25">
      <c r="A23" s="36" t="s">
        <v>226</v>
      </c>
      <c r="B23" s="30">
        <f>Veios!F4</f>
        <v>30</v>
      </c>
      <c r="C23" t="s">
        <v>53</v>
      </c>
    </row>
    <row r="24" spans="1:6" x14ac:dyDescent="0.25">
      <c r="A24" s="36" t="s">
        <v>210</v>
      </c>
      <c r="B24" s="30">
        <v>8</v>
      </c>
      <c r="C24" t="s">
        <v>53</v>
      </c>
    </row>
    <row r="25" spans="1:6" x14ac:dyDescent="0.25">
      <c r="A25" s="36" t="s">
        <v>211</v>
      </c>
      <c r="B25" s="30">
        <v>7</v>
      </c>
      <c r="C25" t="s">
        <v>53</v>
      </c>
      <c r="F25" s="1"/>
    </row>
    <row r="26" spans="1:6" x14ac:dyDescent="0.25">
      <c r="A26" s="36" t="s">
        <v>212</v>
      </c>
      <c r="B26" s="30">
        <v>4.0999999999999996</v>
      </c>
    </row>
    <row r="27" spans="1:6" x14ac:dyDescent="0.25">
      <c r="A27" s="36" t="s">
        <v>213</v>
      </c>
      <c r="B27" s="30">
        <f>B23+3</f>
        <v>33</v>
      </c>
      <c r="C27" t="s">
        <v>53</v>
      </c>
    </row>
    <row r="28" spans="1:6" x14ac:dyDescent="0.25">
      <c r="A28" s="36" t="s">
        <v>214</v>
      </c>
      <c r="B28" s="30">
        <v>0.1</v>
      </c>
    </row>
    <row r="29" spans="1:6" x14ac:dyDescent="0.25">
      <c r="A29" s="36" t="s">
        <v>177</v>
      </c>
      <c r="B29" s="30">
        <v>0.4</v>
      </c>
    </row>
    <row r="30" spans="1:6" x14ac:dyDescent="0.25">
      <c r="A30" s="36"/>
      <c r="B30" s="30"/>
    </row>
    <row r="31" spans="1:6" x14ac:dyDescent="0.25">
      <c r="A31" s="36" t="s">
        <v>228</v>
      </c>
      <c r="B31" s="30">
        <f>30.6*1.6</f>
        <v>48.960000000000008</v>
      </c>
      <c r="C31" t="s">
        <v>85</v>
      </c>
      <c r="D31" t="s">
        <v>201</v>
      </c>
    </row>
    <row r="32" spans="1:6" x14ac:dyDescent="0.25">
      <c r="A32" s="36" t="s">
        <v>215</v>
      </c>
      <c r="B32" s="30">
        <v>0.98</v>
      </c>
    </row>
    <row r="33" spans="1:6" x14ac:dyDescent="0.25">
      <c r="A33" s="36" t="s">
        <v>216</v>
      </c>
      <c r="B33" s="30">
        <v>0.84</v>
      </c>
    </row>
    <row r="34" spans="1:6" x14ac:dyDescent="0.25">
      <c r="A34" s="36" t="s">
        <v>217</v>
      </c>
      <c r="B34" s="30">
        <v>60</v>
      </c>
      <c r="C34" t="s">
        <v>170</v>
      </c>
    </row>
    <row r="35" spans="1:6" x14ac:dyDescent="0.25">
      <c r="A35" s="36"/>
      <c r="B35" s="30"/>
    </row>
    <row r="36" spans="1:6" x14ac:dyDescent="0.25">
      <c r="A36" s="3" t="s">
        <v>31</v>
      </c>
      <c r="B36" s="31">
        <f>B32*B31^(1/3)</f>
        <v>3.5851435153181672</v>
      </c>
      <c r="C36" t="s">
        <v>53</v>
      </c>
    </row>
    <row r="37" spans="1:6" x14ac:dyDescent="0.25">
      <c r="A37" s="3" t="s">
        <v>219</v>
      </c>
      <c r="B37" s="31">
        <f>B33*B31^(1/3)</f>
        <v>3.0729801559870005</v>
      </c>
      <c r="C37" t="s">
        <v>53</v>
      </c>
    </row>
    <row r="38" spans="1:6" x14ac:dyDescent="0.25">
      <c r="A38" s="3" t="s">
        <v>221</v>
      </c>
      <c r="B38" s="31">
        <f>B31/((B25-B26)*(B23/2000)*B34)</f>
        <v>18.758620689655174</v>
      </c>
      <c r="C38" t="s">
        <v>53</v>
      </c>
      <c r="D38" t="s">
        <v>10</v>
      </c>
      <c r="E38">
        <v>20</v>
      </c>
      <c r="F38" t="s">
        <v>53</v>
      </c>
    </row>
    <row r="40" spans="1:6" x14ac:dyDescent="0.25">
      <c r="A40" s="1" t="s">
        <v>225</v>
      </c>
    </row>
    <row r="42" spans="1:6" x14ac:dyDescent="0.25">
      <c r="A42" s="36" t="s">
        <v>226</v>
      </c>
      <c r="B42" s="30">
        <v>30</v>
      </c>
      <c r="C42" t="s">
        <v>53</v>
      </c>
    </row>
    <row r="43" spans="1:6" x14ac:dyDescent="0.25">
      <c r="A43" s="36" t="s">
        <v>210</v>
      </c>
      <c r="B43" s="30">
        <v>8</v>
      </c>
      <c r="C43" t="s">
        <v>53</v>
      </c>
    </row>
    <row r="44" spans="1:6" x14ac:dyDescent="0.25">
      <c r="A44" s="36" t="s">
        <v>211</v>
      </c>
      <c r="B44" s="30">
        <v>7</v>
      </c>
      <c r="C44" t="s">
        <v>53</v>
      </c>
    </row>
    <row r="45" spans="1:6" x14ac:dyDescent="0.25">
      <c r="A45" s="36" t="s">
        <v>212</v>
      </c>
      <c r="B45" s="30">
        <v>4.0999999999999996</v>
      </c>
    </row>
    <row r="46" spans="1:6" x14ac:dyDescent="0.25">
      <c r="A46" s="36" t="s">
        <v>213</v>
      </c>
      <c r="B46" s="30">
        <f>B42+3</f>
        <v>33</v>
      </c>
      <c r="C46" t="s">
        <v>53</v>
      </c>
    </row>
    <row r="47" spans="1:6" x14ac:dyDescent="0.25">
      <c r="A47" s="36" t="s">
        <v>214</v>
      </c>
      <c r="B47" s="30">
        <v>0.1</v>
      </c>
    </row>
    <row r="48" spans="1:6" x14ac:dyDescent="0.25">
      <c r="A48" s="36" t="s">
        <v>177</v>
      </c>
      <c r="B48" s="30">
        <v>0.4</v>
      </c>
    </row>
    <row r="49" spans="1:6" x14ac:dyDescent="0.25">
      <c r="A49" s="36"/>
      <c r="B49" s="30"/>
    </row>
    <row r="50" spans="1:6" x14ac:dyDescent="0.25">
      <c r="A50" s="36" t="s">
        <v>228</v>
      </c>
      <c r="B50" s="30">
        <f>30.6*1.6</f>
        <v>48.960000000000008</v>
      </c>
      <c r="C50" t="s">
        <v>85</v>
      </c>
      <c r="D50" t="s">
        <v>201</v>
      </c>
    </row>
    <row r="51" spans="1:6" x14ac:dyDescent="0.25">
      <c r="A51" s="36" t="s">
        <v>215</v>
      </c>
      <c r="B51" s="30">
        <v>0.98</v>
      </c>
    </row>
    <row r="52" spans="1:6" x14ac:dyDescent="0.25">
      <c r="A52" s="36" t="s">
        <v>216</v>
      </c>
      <c r="B52" s="30">
        <v>0.84</v>
      </c>
    </row>
    <row r="53" spans="1:6" x14ac:dyDescent="0.25">
      <c r="A53" s="36" t="s">
        <v>217</v>
      </c>
      <c r="B53" s="30">
        <v>80</v>
      </c>
      <c r="C53" t="s">
        <v>170</v>
      </c>
    </row>
    <row r="54" spans="1:6" x14ac:dyDescent="0.25">
      <c r="A54" s="36"/>
      <c r="B54" s="30"/>
    </row>
    <row r="55" spans="1:6" x14ac:dyDescent="0.25">
      <c r="A55" s="3" t="s">
        <v>31</v>
      </c>
      <c r="B55" s="31">
        <f>B51*B50^(1/3)</f>
        <v>3.5851435153181672</v>
      </c>
      <c r="C55" t="s">
        <v>53</v>
      </c>
    </row>
    <row r="56" spans="1:6" x14ac:dyDescent="0.25">
      <c r="A56" s="3" t="s">
        <v>219</v>
      </c>
      <c r="B56" s="31">
        <f>B52*B50^(1/3)</f>
        <v>3.0729801559870005</v>
      </c>
      <c r="C56" t="s">
        <v>53</v>
      </c>
    </row>
    <row r="57" spans="1:6" x14ac:dyDescent="0.25">
      <c r="A57" s="3" t="s">
        <v>221</v>
      </c>
      <c r="B57" s="31">
        <f>B50/((B44-B45)*(B42/2000)*B53)</f>
        <v>14.068965517241379</v>
      </c>
      <c r="C57" t="s">
        <v>53</v>
      </c>
      <c r="D57" t="s">
        <v>10</v>
      </c>
      <c r="E57">
        <v>15</v>
      </c>
      <c r="F57" t="s">
        <v>53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13" zoomScaleNormal="100" workbookViewId="0">
      <selection activeCell="E18" sqref="E18"/>
    </sheetView>
  </sheetViews>
  <sheetFormatPr defaultRowHeight="15" x14ac:dyDescent="0.25"/>
  <cols>
    <col min="1" max="1" width="16.7109375" customWidth="1"/>
    <col min="2" max="2" width="12" bestFit="1" customWidth="1"/>
  </cols>
  <sheetData>
    <row r="1" spans="1:7" x14ac:dyDescent="0.25">
      <c r="A1" t="s">
        <v>319</v>
      </c>
    </row>
    <row r="2" spans="1:7" x14ac:dyDescent="0.25">
      <c r="A2" s="36" t="s">
        <v>175</v>
      </c>
      <c r="B2" s="30">
        <v>30</v>
      </c>
      <c r="C2" t="s">
        <v>53</v>
      </c>
    </row>
    <row r="3" spans="1:7" x14ac:dyDescent="0.25">
      <c r="A3" s="36" t="s">
        <v>284</v>
      </c>
      <c r="B3" s="30">
        <v>1.5</v>
      </c>
      <c r="C3" t="s">
        <v>53</v>
      </c>
    </row>
    <row r="4" spans="1:7" x14ac:dyDescent="0.25">
      <c r="A4" s="36"/>
    </row>
    <row r="5" spans="1:7" x14ac:dyDescent="0.25">
      <c r="A5" s="36" t="s">
        <v>311</v>
      </c>
    </row>
    <row r="6" spans="1:7" x14ac:dyDescent="0.25">
      <c r="A6" s="44" t="s">
        <v>320</v>
      </c>
    </row>
    <row r="7" spans="1:7" x14ac:dyDescent="0.25">
      <c r="B7" s="30"/>
    </row>
    <row r="8" spans="1:7" x14ac:dyDescent="0.25">
      <c r="A8" s="36" t="s">
        <v>293</v>
      </c>
      <c r="B8" s="28">
        <f>Veios!J20</f>
        <v>1330.1115574580435</v>
      </c>
      <c r="C8" t="s">
        <v>164</v>
      </c>
    </row>
    <row r="9" spans="1:7" x14ac:dyDescent="0.25">
      <c r="A9" s="36" t="s">
        <v>292</v>
      </c>
      <c r="B9" s="28">
        <f>Veios!F44*-1</f>
        <v>188.63157894736841</v>
      </c>
      <c r="C9" t="s">
        <v>164</v>
      </c>
    </row>
    <row r="10" spans="1:7" x14ac:dyDescent="0.25">
      <c r="A10" s="36" t="s">
        <v>175</v>
      </c>
      <c r="B10" s="30">
        <v>70</v>
      </c>
      <c r="C10" t="s">
        <v>53</v>
      </c>
      <c r="D10" t="s">
        <v>177</v>
      </c>
      <c r="E10" s="30">
        <f>B10/2000</f>
        <v>3.5000000000000003E-2</v>
      </c>
      <c r="F10" t="s">
        <v>88</v>
      </c>
      <c r="G10" s="41" t="s">
        <v>315</v>
      </c>
    </row>
    <row r="11" spans="1:7" x14ac:dyDescent="0.25">
      <c r="A11" s="36" t="s">
        <v>318</v>
      </c>
      <c r="B11" s="30">
        <v>5</v>
      </c>
      <c r="C11" t="s">
        <v>53</v>
      </c>
      <c r="D11" s="30">
        <f>B11/1000</f>
        <v>5.0000000000000001E-3</v>
      </c>
      <c r="E11" t="s">
        <v>88</v>
      </c>
    </row>
    <row r="12" spans="1:7" ht="17.25" x14ac:dyDescent="0.25">
      <c r="A12" s="36" t="s">
        <v>294</v>
      </c>
      <c r="B12" s="43">
        <f>PI()*E10^2</f>
        <v>3.8484510006474969E-3</v>
      </c>
      <c r="C12" t="s">
        <v>349</v>
      </c>
    </row>
    <row r="13" spans="1:7" x14ac:dyDescent="0.25">
      <c r="A13" s="36" t="s">
        <v>163</v>
      </c>
      <c r="B13" s="28">
        <f>Veios!J20</f>
        <v>1330.1115574580435</v>
      </c>
      <c r="C13" t="s">
        <v>164</v>
      </c>
    </row>
    <row r="14" spans="1:7" x14ac:dyDescent="0.25">
      <c r="A14" s="36" t="s">
        <v>297</v>
      </c>
      <c r="B14" s="30">
        <v>6</v>
      </c>
    </row>
    <row r="15" spans="1:7" x14ac:dyDescent="0.25">
      <c r="A15" s="36" t="s">
        <v>296</v>
      </c>
      <c r="B15" s="28">
        <f>B13/B14</f>
        <v>221.6852595763406</v>
      </c>
      <c r="C15" t="s">
        <v>298</v>
      </c>
    </row>
    <row r="16" spans="1:7" x14ac:dyDescent="0.25">
      <c r="A16" s="36" t="s">
        <v>265</v>
      </c>
      <c r="B16" s="30">
        <v>2</v>
      </c>
    </row>
    <row r="17" spans="1:4" x14ac:dyDescent="0.25">
      <c r="A17" s="36" t="s">
        <v>303</v>
      </c>
      <c r="B17" s="28">
        <f>B15*B16</f>
        <v>443.3705191526812</v>
      </c>
      <c r="C17" t="s">
        <v>164</v>
      </c>
    </row>
    <row r="18" spans="1:4" x14ac:dyDescent="0.25">
      <c r="A18" s="36" t="s">
        <v>299</v>
      </c>
      <c r="B18" s="30">
        <v>210</v>
      </c>
      <c r="C18" t="s">
        <v>300</v>
      </c>
    </row>
    <row r="19" spans="1:4" x14ac:dyDescent="0.25">
      <c r="A19" s="36" t="s">
        <v>301</v>
      </c>
      <c r="B19" s="30">
        <f>B12/B14</f>
        <v>6.4140850010791612E-4</v>
      </c>
      <c r="C19" t="s">
        <v>302</v>
      </c>
    </row>
    <row r="20" spans="1:4" x14ac:dyDescent="0.25">
      <c r="A20" s="36" t="s">
        <v>309</v>
      </c>
      <c r="B20" s="30">
        <f>B19-B25</f>
        <v>6.343399166373391E-4</v>
      </c>
    </row>
    <row r="21" spans="1:4" x14ac:dyDescent="0.25">
      <c r="A21" s="36"/>
      <c r="B21" s="30"/>
    </row>
    <row r="22" spans="1:4" x14ac:dyDescent="0.25">
      <c r="A22" s="36" t="s">
        <v>305</v>
      </c>
      <c r="B22" s="39">
        <f>(B20*B18*10^9)/D11</f>
        <v>26642276498.768238</v>
      </c>
      <c r="C22" t="s">
        <v>308</v>
      </c>
    </row>
    <row r="23" spans="1:4" x14ac:dyDescent="0.25">
      <c r="A23" s="36" t="s">
        <v>304</v>
      </c>
      <c r="B23" s="39">
        <f>(B25*B18*10^9)/D11</f>
        <v>296880505.76423544</v>
      </c>
      <c r="C23" t="s">
        <v>307</v>
      </c>
    </row>
    <row r="24" spans="1:4" x14ac:dyDescent="0.25">
      <c r="A24" s="36" t="s">
        <v>317</v>
      </c>
      <c r="B24" s="40">
        <v>3</v>
      </c>
      <c r="C24" t="s">
        <v>53</v>
      </c>
      <c r="D24" t="s">
        <v>310</v>
      </c>
    </row>
    <row r="25" spans="1:4" x14ac:dyDescent="0.25">
      <c r="A25" s="36" t="s">
        <v>316</v>
      </c>
      <c r="B25" s="30">
        <f>PI()*((B24/2000)^2)</f>
        <v>7.0685834705770344E-6</v>
      </c>
      <c r="C25" t="s">
        <v>295</v>
      </c>
    </row>
    <row r="26" spans="1:4" x14ac:dyDescent="0.25">
      <c r="A26" s="36" t="s">
        <v>306</v>
      </c>
      <c r="B26" s="28">
        <f>B17/(((B22+B23)/B22)^-1)</f>
        <v>448.31109035248409</v>
      </c>
      <c r="C26" t="s">
        <v>164</v>
      </c>
    </row>
    <row r="27" spans="1:4" x14ac:dyDescent="0.25">
      <c r="A27" s="36" t="s">
        <v>253</v>
      </c>
      <c r="B27" s="28">
        <f>((B26*B16)/(B25))/(10^6)</f>
        <v>126.8460907955825</v>
      </c>
      <c r="C27" t="s">
        <v>170</v>
      </c>
    </row>
    <row r="28" spans="1:4" x14ac:dyDescent="0.25">
      <c r="A28" s="36" t="s">
        <v>312</v>
      </c>
      <c r="B28" s="31">
        <f>0.18*B24*B26/2000</f>
        <v>0.12104399439517072</v>
      </c>
      <c r="C28" t="s">
        <v>85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zoomScale="110" zoomScaleNormal="110" workbookViewId="0">
      <selection activeCell="B40" sqref="B40"/>
    </sheetView>
  </sheetViews>
  <sheetFormatPr defaultRowHeight="15" x14ac:dyDescent="0.25"/>
  <sheetData>
    <row r="1" spans="1:9" x14ac:dyDescent="0.25">
      <c r="A1" s="6" t="s">
        <v>33</v>
      </c>
    </row>
    <row r="2" spans="1:9" x14ac:dyDescent="0.25">
      <c r="A2" s="1" t="s">
        <v>243</v>
      </c>
      <c r="G2">
        <f>SQRT(B6^2+4.22^2)</f>
        <v>6.0893759943035217</v>
      </c>
    </row>
    <row r="3" spans="1:9" x14ac:dyDescent="0.25">
      <c r="A3" t="s">
        <v>278</v>
      </c>
      <c r="B3" t="s">
        <v>279</v>
      </c>
      <c r="C3" t="s">
        <v>280</v>
      </c>
    </row>
    <row r="4" spans="1:9" x14ac:dyDescent="0.25">
      <c r="A4" t="s">
        <v>175</v>
      </c>
      <c r="B4">
        <v>20</v>
      </c>
      <c r="C4" t="s">
        <v>53</v>
      </c>
      <c r="G4" s="36" t="s">
        <v>269</v>
      </c>
      <c r="H4">
        <v>26</v>
      </c>
      <c r="I4" t="s">
        <v>53</v>
      </c>
    </row>
    <row r="5" spans="1:9" x14ac:dyDescent="0.25">
      <c r="A5" t="s">
        <v>246</v>
      </c>
      <c r="B5">
        <v>18.420000000000002</v>
      </c>
      <c r="C5" t="s">
        <v>85</v>
      </c>
      <c r="D5">
        <f>SQRT(B5^2+B6^2)</f>
        <v>18.935905048346648</v>
      </c>
      <c r="G5" s="36" t="s">
        <v>266</v>
      </c>
      <c r="H5">
        <v>0.5</v>
      </c>
      <c r="I5" t="s">
        <v>53</v>
      </c>
    </row>
    <row r="6" spans="1:9" x14ac:dyDescent="0.25">
      <c r="A6" t="s">
        <v>245</v>
      </c>
      <c r="B6">
        <v>4.3899999999999997</v>
      </c>
      <c r="C6" t="s">
        <v>85</v>
      </c>
      <c r="G6" s="36" t="s">
        <v>267</v>
      </c>
      <c r="H6" s="15">
        <f>H5/B4</f>
        <v>2.5000000000000001E-2</v>
      </c>
    </row>
    <row r="7" spans="1:9" x14ac:dyDescent="0.25">
      <c r="A7" t="s">
        <v>248</v>
      </c>
      <c r="B7" s="32">
        <v>4.4800000000000004</v>
      </c>
      <c r="C7" t="s">
        <v>85</v>
      </c>
      <c r="D7" s="27">
        <f>B7*1000</f>
        <v>4480</v>
      </c>
      <c r="E7" t="s">
        <v>250</v>
      </c>
      <c r="G7" s="36" t="s">
        <v>268</v>
      </c>
      <c r="H7" s="33">
        <f>H4/B4</f>
        <v>1.3</v>
      </c>
    </row>
    <row r="8" spans="1:9" x14ac:dyDescent="0.25">
      <c r="A8" t="s">
        <v>249</v>
      </c>
      <c r="B8" s="27">
        <f>(32*D7)/(PI()*(B4)^3)</f>
        <v>5.7041131604135291</v>
      </c>
      <c r="C8" t="s">
        <v>172</v>
      </c>
      <c r="G8" s="36" t="s">
        <v>270</v>
      </c>
      <c r="H8">
        <v>2.7</v>
      </c>
    </row>
    <row r="9" spans="1:9" x14ac:dyDescent="0.25">
      <c r="A9" t="s">
        <v>251</v>
      </c>
      <c r="B9" s="33">
        <f>H10</f>
        <v>6.6154321635346003</v>
      </c>
      <c r="C9" t="s">
        <v>172</v>
      </c>
    </row>
    <row r="10" spans="1:9" x14ac:dyDescent="0.25">
      <c r="A10" t="s">
        <v>252</v>
      </c>
      <c r="B10">
        <f>Veios!B1</f>
        <v>2.016</v>
      </c>
      <c r="C10" t="s">
        <v>85</v>
      </c>
      <c r="D10">
        <f>B10*1000</f>
        <v>2016</v>
      </c>
      <c r="E10" t="s">
        <v>250</v>
      </c>
      <c r="G10" t="s">
        <v>275</v>
      </c>
      <c r="H10" s="33">
        <f>Veios!J20/(PI()*(Veios!B19/2)^2)</f>
        <v>6.6154321635346003</v>
      </c>
      <c r="I10" t="s">
        <v>170</v>
      </c>
    </row>
    <row r="11" spans="1:9" x14ac:dyDescent="0.25">
      <c r="A11" t="s">
        <v>264</v>
      </c>
      <c r="B11" s="32">
        <f>(16*D10)/(PI()*B4^3)</f>
        <v>1.2834254610930442</v>
      </c>
      <c r="C11" t="s">
        <v>172</v>
      </c>
    </row>
    <row r="12" spans="1:9" x14ac:dyDescent="0.25">
      <c r="A12" t="s">
        <v>253</v>
      </c>
      <c r="B12">
        <v>355</v>
      </c>
      <c r="C12" t="s">
        <v>172</v>
      </c>
    </row>
    <row r="13" spans="1:9" x14ac:dyDescent="0.25">
      <c r="A13" t="s">
        <v>257</v>
      </c>
      <c r="B13">
        <v>700</v>
      </c>
      <c r="C13" t="s">
        <v>172</v>
      </c>
    </row>
    <row r="14" spans="1:9" x14ac:dyDescent="0.25">
      <c r="A14" t="s">
        <v>258</v>
      </c>
      <c r="B14">
        <v>1</v>
      </c>
      <c r="C14" t="s">
        <v>262</v>
      </c>
    </row>
    <row r="15" spans="1:9" x14ac:dyDescent="0.25">
      <c r="A15" t="s">
        <v>259</v>
      </c>
      <c r="B15">
        <v>0.85</v>
      </c>
    </row>
    <row r="16" spans="1:9" x14ac:dyDescent="0.25">
      <c r="A16" t="s">
        <v>260</v>
      </c>
      <c r="B16">
        <v>0.78</v>
      </c>
      <c r="C16" t="s">
        <v>263</v>
      </c>
    </row>
    <row r="17" spans="1:3" x14ac:dyDescent="0.25">
      <c r="A17" t="s">
        <v>261</v>
      </c>
      <c r="B17">
        <v>0.9</v>
      </c>
      <c r="C17" t="s">
        <v>276</v>
      </c>
    </row>
    <row r="18" spans="1:3" x14ac:dyDescent="0.25">
      <c r="A18" t="s">
        <v>255</v>
      </c>
      <c r="B18" s="27">
        <f>B13/2*B14*B15*B16*B17</f>
        <v>208.84500000000003</v>
      </c>
      <c r="C18" t="s">
        <v>172</v>
      </c>
    </row>
    <row r="19" spans="1:3" x14ac:dyDescent="0.25">
      <c r="A19" t="s">
        <v>256</v>
      </c>
      <c r="B19">
        <v>2.2999999999999998</v>
      </c>
      <c r="C19" t="s">
        <v>271</v>
      </c>
    </row>
    <row r="20" spans="1:3" x14ac:dyDescent="0.25">
      <c r="A20" t="s">
        <v>254</v>
      </c>
      <c r="B20" s="27">
        <f>B9+B19*B12*B8/B18</f>
        <v>28.916221722670063</v>
      </c>
      <c r="C20" t="s">
        <v>172</v>
      </c>
    </row>
    <row r="21" spans="1:3" x14ac:dyDescent="0.25">
      <c r="A21" t="s">
        <v>265</v>
      </c>
      <c r="B21" s="33">
        <f>((2/B12)*SQRT((B20/2)^2+B11^2))^-1</f>
        <v>12.228760081975826</v>
      </c>
    </row>
    <row r="34" spans="1:9" x14ac:dyDescent="0.25">
      <c r="A34" s="6" t="s">
        <v>33</v>
      </c>
    </row>
    <row r="35" spans="1:9" x14ac:dyDescent="0.25">
      <c r="A35" s="1" t="s">
        <v>244</v>
      </c>
    </row>
    <row r="36" spans="1:9" x14ac:dyDescent="0.25">
      <c r="A36" t="s">
        <v>278</v>
      </c>
      <c r="B36" t="s">
        <v>279</v>
      </c>
      <c r="C36" t="s">
        <v>280</v>
      </c>
    </row>
    <row r="37" spans="1:9" x14ac:dyDescent="0.25">
      <c r="A37" t="s">
        <v>175</v>
      </c>
      <c r="B37">
        <f>Veios!F4</f>
        <v>30</v>
      </c>
      <c r="C37" t="s">
        <v>53</v>
      </c>
    </row>
    <row r="38" spans="1:9" x14ac:dyDescent="0.25">
      <c r="A38" t="s">
        <v>247</v>
      </c>
      <c r="B38">
        <v>24.86</v>
      </c>
      <c r="C38" t="s">
        <v>85</v>
      </c>
      <c r="G38" t="s">
        <v>269</v>
      </c>
      <c r="H38">
        <v>36</v>
      </c>
      <c r="I38" t="s">
        <v>53</v>
      </c>
    </row>
    <row r="39" spans="1:9" x14ac:dyDescent="0.25">
      <c r="A39" t="s">
        <v>245</v>
      </c>
      <c r="B39">
        <v>68.34</v>
      </c>
      <c r="C39" t="s">
        <v>85</v>
      </c>
      <c r="G39" t="s">
        <v>266</v>
      </c>
      <c r="H39">
        <v>0.5</v>
      </c>
      <c r="I39" t="s">
        <v>53</v>
      </c>
    </row>
    <row r="40" spans="1:9" x14ac:dyDescent="0.25">
      <c r="A40" t="s">
        <v>248</v>
      </c>
      <c r="B40" s="32">
        <f>SQRT(B38^2+B39^2)</f>
        <v>72.721215611401874</v>
      </c>
      <c r="C40" t="s">
        <v>85</v>
      </c>
      <c r="D40" s="27">
        <f>B39*1000</f>
        <v>68340</v>
      </c>
      <c r="G40" t="s">
        <v>267</v>
      </c>
      <c r="H40" s="32">
        <f>H39/B37</f>
        <v>1.6666666666666666E-2</v>
      </c>
    </row>
    <row r="41" spans="1:9" x14ac:dyDescent="0.25">
      <c r="A41" t="s">
        <v>249</v>
      </c>
      <c r="B41" s="32">
        <f>(32*D40)/(PI()*(B37)^3)</f>
        <v>25.781686070281783</v>
      </c>
      <c r="C41" t="s">
        <v>172</v>
      </c>
      <c r="G41" t="s">
        <v>268</v>
      </c>
      <c r="H41" s="33">
        <f>H38/B37</f>
        <v>1.2</v>
      </c>
    </row>
    <row r="42" spans="1:9" x14ac:dyDescent="0.25">
      <c r="A42" t="s">
        <v>251</v>
      </c>
      <c r="B42" s="33">
        <f>H45</f>
        <v>-0.26685909522402473</v>
      </c>
      <c r="C42" t="s">
        <v>172</v>
      </c>
      <c r="G42" t="s">
        <v>270</v>
      </c>
      <c r="H42">
        <v>2.6</v>
      </c>
    </row>
    <row r="43" spans="1:9" x14ac:dyDescent="0.25">
      <c r="A43" t="s">
        <v>252</v>
      </c>
      <c r="B43">
        <f>Veios!B33</f>
        <v>48.960000000000008</v>
      </c>
      <c r="C43" t="s">
        <v>85</v>
      </c>
      <c r="D43">
        <f>B43*1000</f>
        <v>48960.000000000007</v>
      </c>
      <c r="E43" t="s">
        <v>250</v>
      </c>
    </row>
    <row r="44" spans="1:9" x14ac:dyDescent="0.25">
      <c r="A44" t="s">
        <v>212</v>
      </c>
      <c r="B44" s="33">
        <f>(16*D43)/(PI()*B37^3)</f>
        <v>9.2352308311457154</v>
      </c>
      <c r="C44" t="s">
        <v>172</v>
      </c>
    </row>
    <row r="45" spans="1:9" x14ac:dyDescent="0.25">
      <c r="A45" t="s">
        <v>253</v>
      </c>
      <c r="B45">
        <v>372</v>
      </c>
      <c r="C45" t="s">
        <v>172</v>
      </c>
      <c r="G45" t="s">
        <v>277</v>
      </c>
      <c r="H45" s="33">
        <f>Veios!F44/(PI()*(Fadiga!B37/2)^2)</f>
        <v>-0.26685909522402473</v>
      </c>
      <c r="I45" t="s">
        <v>170</v>
      </c>
    </row>
    <row r="46" spans="1:9" x14ac:dyDescent="0.25">
      <c r="A46" t="s">
        <v>257</v>
      </c>
      <c r="B46">
        <v>625</v>
      </c>
      <c r="C46" t="s">
        <v>172</v>
      </c>
    </row>
    <row r="47" spans="1:9" x14ac:dyDescent="0.25">
      <c r="A47" t="s">
        <v>258</v>
      </c>
      <c r="B47">
        <v>1</v>
      </c>
      <c r="C47" t="s">
        <v>262</v>
      </c>
    </row>
    <row r="48" spans="1:9" x14ac:dyDescent="0.25">
      <c r="A48" t="s">
        <v>259</v>
      </c>
      <c r="B48">
        <v>0.8</v>
      </c>
    </row>
    <row r="49" spans="1:9" x14ac:dyDescent="0.25">
      <c r="A49" t="s">
        <v>260</v>
      </c>
      <c r="B49">
        <v>0.76</v>
      </c>
      <c r="C49" t="s">
        <v>263</v>
      </c>
    </row>
    <row r="50" spans="1:9" x14ac:dyDescent="0.25">
      <c r="A50" t="s">
        <v>261</v>
      </c>
      <c r="B50">
        <v>0.9</v>
      </c>
      <c r="C50" t="s">
        <v>276</v>
      </c>
    </row>
    <row r="51" spans="1:9" x14ac:dyDescent="0.25">
      <c r="A51" t="s">
        <v>255</v>
      </c>
      <c r="B51" s="27">
        <f>B46/2*B47*B48*B49*B50</f>
        <v>171</v>
      </c>
      <c r="C51" t="s">
        <v>172</v>
      </c>
    </row>
    <row r="52" spans="1:9" x14ac:dyDescent="0.25">
      <c r="A52" t="s">
        <v>256</v>
      </c>
      <c r="B52">
        <v>2.25</v>
      </c>
      <c r="C52" t="s">
        <v>271</v>
      </c>
      <c r="I52" t="s">
        <v>272</v>
      </c>
    </row>
    <row r="53" spans="1:9" x14ac:dyDescent="0.25">
      <c r="A53" t="s">
        <v>254</v>
      </c>
      <c r="B53" s="27">
        <f>B42+B52*B45*B41/B51</f>
        <v>125.92770956457629</v>
      </c>
      <c r="C53" t="s">
        <v>172</v>
      </c>
    </row>
    <row r="54" spans="1:9" x14ac:dyDescent="0.25">
      <c r="A54" t="s">
        <v>265</v>
      </c>
      <c r="B54" s="33">
        <f>((2/B45)*SQRT((B53/2)^2+B44^2))^-1</f>
        <v>2.9228031126463447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opLeftCell="A4" workbookViewId="0">
      <selection activeCell="D11" sqref="D11"/>
    </sheetView>
  </sheetViews>
  <sheetFormatPr defaultRowHeight="15" x14ac:dyDescent="0.25"/>
  <cols>
    <col min="2" max="2" width="13.42578125" bestFit="1" customWidth="1"/>
  </cols>
  <sheetData>
    <row r="2" spans="1:12" x14ac:dyDescent="0.25">
      <c r="A2" s="30" t="s">
        <v>278</v>
      </c>
      <c r="B2" s="30" t="s">
        <v>342</v>
      </c>
      <c r="C2" s="30" t="s">
        <v>343</v>
      </c>
    </row>
    <row r="3" spans="1:12" ht="18" x14ac:dyDescent="0.35">
      <c r="A3" s="36" t="s">
        <v>329</v>
      </c>
      <c r="B3" s="30">
        <v>180</v>
      </c>
      <c r="C3" t="s">
        <v>78</v>
      </c>
    </row>
    <row r="4" spans="1:12" ht="18" x14ac:dyDescent="0.35">
      <c r="A4" s="36" t="s">
        <v>329</v>
      </c>
      <c r="B4" s="29">
        <f>B3/745.7</f>
        <v>0.24138393455813328</v>
      </c>
      <c r="C4" t="s">
        <v>321</v>
      </c>
    </row>
    <row r="5" spans="1:12" x14ac:dyDescent="0.25">
      <c r="A5" s="36" t="s">
        <v>318</v>
      </c>
      <c r="B5" s="46">
        <v>0.71</v>
      </c>
    </row>
    <row r="6" spans="1:12" ht="18" x14ac:dyDescent="0.35">
      <c r="A6" s="36" t="s">
        <v>330</v>
      </c>
      <c r="B6" s="47">
        <f>33000*(1-B5)*B4</f>
        <v>2310.0442537213362</v>
      </c>
      <c r="C6" t="s">
        <v>335</v>
      </c>
    </row>
    <row r="7" spans="1:12" ht="18" x14ac:dyDescent="0.35">
      <c r="A7" s="36" t="s">
        <v>331</v>
      </c>
      <c r="B7" s="30">
        <v>1370</v>
      </c>
      <c r="C7" t="s">
        <v>58</v>
      </c>
    </row>
    <row r="8" spans="1:12" ht="18.75" x14ac:dyDescent="0.35">
      <c r="A8" s="36" t="s">
        <v>332</v>
      </c>
      <c r="B8" s="29">
        <f>B7/6494+0.13</f>
        <v>0.34096396673852791</v>
      </c>
      <c r="C8" t="s">
        <v>336</v>
      </c>
      <c r="L8">
        <v>55250</v>
      </c>
    </row>
    <row r="9" spans="1:12" ht="18" x14ac:dyDescent="0.35">
      <c r="A9" s="36" t="s">
        <v>333</v>
      </c>
      <c r="B9" s="30">
        <v>20</v>
      </c>
      <c r="C9" t="s">
        <v>325</v>
      </c>
    </row>
    <row r="10" spans="1:12" ht="18" x14ac:dyDescent="0.35">
      <c r="A10" s="36" t="s">
        <v>333</v>
      </c>
      <c r="B10" s="30">
        <f>B9*1.8+32</f>
        <v>68</v>
      </c>
      <c r="C10" t="s">
        <v>326</v>
      </c>
    </row>
    <row r="11" spans="1:12" x14ac:dyDescent="0.25">
      <c r="A11" s="36" t="s">
        <v>322</v>
      </c>
      <c r="B11" s="30">
        <v>210000</v>
      </c>
      <c r="C11" t="s">
        <v>323</v>
      </c>
    </row>
    <row r="12" spans="1:12" x14ac:dyDescent="0.25">
      <c r="A12" s="36" t="s">
        <v>322</v>
      </c>
      <c r="B12" s="47">
        <f>B11*0.0015500031</f>
        <v>325.500651</v>
      </c>
      <c r="C12" t="s">
        <v>324</v>
      </c>
    </row>
    <row r="13" spans="1:12" ht="18" x14ac:dyDescent="0.35">
      <c r="A13" s="36" t="s">
        <v>334</v>
      </c>
      <c r="B13" s="31">
        <f>B10+B6/(B8*B12)</f>
        <v>88.81421102580012</v>
      </c>
      <c r="C13" t="s">
        <v>326</v>
      </c>
      <c r="J13" t="s">
        <v>341</v>
      </c>
      <c r="K13" s="30">
        <v>11</v>
      </c>
    </row>
    <row r="14" spans="1:12" ht="18" x14ac:dyDescent="0.35">
      <c r="A14" s="36" t="s">
        <v>334</v>
      </c>
      <c r="B14" s="31">
        <f>(B13-32)/1.8</f>
        <v>31.563450569888953</v>
      </c>
      <c r="C14" t="s">
        <v>325</v>
      </c>
      <c r="E14" s="45" t="s">
        <v>327</v>
      </c>
    </row>
    <row r="15" spans="1:12" ht="17.25" x14ac:dyDescent="0.25">
      <c r="A15" s="36" t="s">
        <v>1</v>
      </c>
      <c r="B15" s="30">
        <f>'Sem-fim e roda'!K35</f>
        <v>50</v>
      </c>
      <c r="C15" t="s">
        <v>339</v>
      </c>
      <c r="E15" s="45" t="s">
        <v>328</v>
      </c>
    </row>
    <row r="16" spans="1:12" x14ac:dyDescent="0.25">
      <c r="A16" s="36" t="s">
        <v>1</v>
      </c>
      <c r="B16" s="31">
        <f>B15*0.0393700787</f>
        <v>1.968503935</v>
      </c>
      <c r="C16" t="s">
        <v>337</v>
      </c>
      <c r="K16" s="30" t="s">
        <v>347</v>
      </c>
      <c r="L16" s="30" t="s">
        <v>348</v>
      </c>
    </row>
    <row r="17" spans="1:12" ht="18.75" x14ac:dyDescent="0.35">
      <c r="A17" s="36" t="s">
        <v>338</v>
      </c>
      <c r="B17" s="31">
        <f>43.2*B16^1.7</f>
        <v>136.62036308159981</v>
      </c>
      <c r="C17" t="s">
        <v>340</v>
      </c>
      <c r="J17" s="36" t="s">
        <v>346</v>
      </c>
      <c r="K17" s="30">
        <v>1283</v>
      </c>
      <c r="L17" s="30">
        <f>K17*K13</f>
        <v>14113</v>
      </c>
    </row>
    <row r="18" spans="1:12" ht="18.75" x14ac:dyDescent="0.35">
      <c r="A18" s="36" t="s">
        <v>338</v>
      </c>
      <c r="B18" s="47">
        <f>B17/0.0015500031</f>
        <v>88141.993446077497</v>
      </c>
      <c r="C18" t="s">
        <v>339</v>
      </c>
      <c r="J18" s="36" t="s">
        <v>344</v>
      </c>
      <c r="K18" s="30">
        <f>4*80</f>
        <v>320</v>
      </c>
      <c r="L18" s="30">
        <f>K18*K13</f>
        <v>3520</v>
      </c>
    </row>
    <row r="19" spans="1:12" ht="17.25" x14ac:dyDescent="0.25">
      <c r="J19" s="36" t="s">
        <v>345</v>
      </c>
      <c r="K19" s="30">
        <f>L17-L18</f>
        <v>10593</v>
      </c>
      <c r="L19" t="s">
        <v>339</v>
      </c>
    </row>
    <row r="22" spans="1:12" x14ac:dyDescent="0.25">
      <c r="F22" s="32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Sem-fim e roda</vt:lpstr>
      <vt:lpstr>Potências</vt:lpstr>
      <vt:lpstr>JCS</vt:lpstr>
      <vt:lpstr>nomenclatura</vt:lpstr>
      <vt:lpstr>Veios</vt:lpstr>
      <vt:lpstr>Chavetas</vt:lpstr>
      <vt:lpstr>Anel el e pfusos</vt:lpstr>
      <vt:lpstr>Fadiga</vt:lpstr>
      <vt:lpstr>Alhetas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2015-11-15T18:34:02Z</dcterms:modified>
</cp:coreProperties>
</file>